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5955" yWindow="-15" windowWidth="6000" windowHeight="6585" tabRatio="619" activeTab="2"/>
  </bookViews>
  <sheets>
    <sheet name="Нормы по школам" sheetId="4" r:id="rId1"/>
    <sheet name="Школы СРЕДНЕЕ" sheetId="86" r:id="rId2"/>
    <sheet name="Учреждение (1)" sheetId="81" r:id="rId3"/>
    <sheet name="Учреждение (2)" sheetId="82" r:id="rId4"/>
    <sheet name="Учреждение (3)" sheetId="83" r:id="rId5"/>
    <sheet name="Учреждение (4)" sheetId="84" r:id="rId6"/>
    <sheet name="Учреждение (5)" sheetId="85" r:id="rId7"/>
  </sheets>
  <definedNames>
    <definedName name="_xlnm.Print_Titles" localSheetId="2">'Учреждение (1)'!$A:$A</definedName>
    <definedName name="_xlnm.Print_Titles" localSheetId="3">'Учреждение (2)'!$A:$A</definedName>
    <definedName name="_xlnm.Print_Titles" localSheetId="4">'Учреждение (3)'!$A:$A</definedName>
    <definedName name="_xlnm.Print_Titles" localSheetId="5">'Учреждение (4)'!$A:$A</definedName>
    <definedName name="_xlnm.Print_Titles" localSheetId="6">'Учреждение (5)'!$A:$A</definedName>
    <definedName name="_xlnm.Print_Titles" localSheetId="1">'Школы СРЕДНЕЕ'!$A:$A</definedName>
  </definedNames>
  <calcPr calcId="125725"/>
</workbook>
</file>

<file path=xl/calcChain.xml><?xml version="1.0" encoding="utf-8"?>
<calcChain xmlns="http://schemas.openxmlformats.org/spreadsheetml/2006/main">
  <c r="AK5" i="86"/>
  <c r="AL5"/>
  <c r="AM5"/>
  <c r="AK6"/>
  <c r="AL6"/>
  <c r="AM6"/>
  <c r="AK7"/>
  <c r="AL7"/>
  <c r="AM7"/>
  <c r="AK8"/>
  <c r="AL8"/>
  <c r="AM8"/>
  <c r="AK9"/>
  <c r="AL9"/>
  <c r="AM9"/>
  <c r="AK10"/>
  <c r="AL10"/>
  <c r="AM10"/>
  <c r="AK11"/>
  <c r="AL11"/>
  <c r="AM11"/>
  <c r="AK12"/>
  <c r="AL12"/>
  <c r="AM12"/>
  <c r="AK13"/>
  <c r="AL13"/>
  <c r="AM13"/>
  <c r="AK14"/>
  <c r="AL14"/>
  <c r="AM14"/>
  <c r="AK15"/>
  <c r="AL15"/>
  <c r="AM15"/>
  <c r="AK16"/>
  <c r="AL16"/>
  <c r="AM16"/>
  <c r="AK17"/>
  <c r="AL17"/>
  <c r="AM17"/>
  <c r="AK18"/>
  <c r="AL18"/>
  <c r="AM18"/>
  <c r="AK19"/>
  <c r="AL19"/>
  <c r="AM19"/>
  <c r="AK20"/>
  <c r="AL20"/>
  <c r="AM20"/>
  <c r="AK21"/>
  <c r="AL21"/>
  <c r="AM21"/>
  <c r="AK22"/>
  <c r="AL22"/>
  <c r="AM22"/>
  <c r="AK23"/>
  <c r="AL23"/>
  <c r="AM23"/>
  <c r="AK24"/>
  <c r="AL24"/>
  <c r="AM24"/>
  <c r="AK25"/>
  <c r="AL25"/>
  <c r="AM25"/>
  <c r="AK26"/>
  <c r="AL26"/>
  <c r="AM26"/>
  <c r="AK27"/>
  <c r="AL27"/>
  <c r="AM27"/>
  <c r="AK28"/>
  <c r="AL28"/>
  <c r="AM28"/>
  <c r="AK29"/>
  <c r="AL29"/>
  <c r="AM29"/>
  <c r="AK30"/>
  <c r="AL30"/>
  <c r="AM30"/>
  <c r="AK31"/>
  <c r="AL31"/>
  <c r="AM31"/>
  <c r="AK32"/>
  <c r="AL32"/>
  <c r="AM32"/>
  <c r="AK33"/>
  <c r="AL33"/>
  <c r="AM33"/>
  <c r="AK34"/>
  <c r="AL34"/>
  <c r="AM34"/>
  <c r="AK35"/>
  <c r="AL35"/>
  <c r="AM35"/>
  <c r="AK4"/>
  <c r="AL4"/>
  <c r="AM4"/>
  <c r="AD5"/>
  <c r="AE5"/>
  <c r="AF5"/>
  <c r="AD6"/>
  <c r="AE6"/>
  <c r="AF6"/>
  <c r="AD7"/>
  <c r="AE7"/>
  <c r="AF7"/>
  <c r="AD8"/>
  <c r="AE8"/>
  <c r="AF8"/>
  <c r="AD9"/>
  <c r="AE9"/>
  <c r="AF9"/>
  <c r="AD10"/>
  <c r="AE10"/>
  <c r="AF10"/>
  <c r="AD11"/>
  <c r="AE11"/>
  <c r="AF11"/>
  <c r="AD12"/>
  <c r="AE12"/>
  <c r="AF12"/>
  <c r="AD13"/>
  <c r="AE13"/>
  <c r="AF13"/>
  <c r="AD14"/>
  <c r="AE14"/>
  <c r="AF14"/>
  <c r="AD15"/>
  <c r="AE15"/>
  <c r="AF15"/>
  <c r="AD16"/>
  <c r="AE16"/>
  <c r="AF16"/>
  <c r="AD17"/>
  <c r="AE17"/>
  <c r="AF17"/>
  <c r="AD18"/>
  <c r="AE18"/>
  <c r="AF18"/>
  <c r="AD19"/>
  <c r="AE19"/>
  <c r="AF19"/>
  <c r="AD20"/>
  <c r="AE20"/>
  <c r="AF20"/>
  <c r="AD21"/>
  <c r="AE21"/>
  <c r="AF21"/>
  <c r="AD22"/>
  <c r="AE22"/>
  <c r="AF22"/>
  <c r="AD23"/>
  <c r="AE23"/>
  <c r="AF23"/>
  <c r="AD24"/>
  <c r="AE24"/>
  <c r="AF24"/>
  <c r="AD25"/>
  <c r="AE25"/>
  <c r="AF25"/>
  <c r="AD26"/>
  <c r="AE26"/>
  <c r="AF26"/>
  <c r="AD27"/>
  <c r="AE27"/>
  <c r="AF27"/>
  <c r="AD28"/>
  <c r="AE28"/>
  <c r="AF28"/>
  <c r="AD29"/>
  <c r="AE29"/>
  <c r="AF29"/>
  <c r="AD30"/>
  <c r="AE30"/>
  <c r="AF30"/>
  <c r="AD31"/>
  <c r="AE31"/>
  <c r="AF31"/>
  <c r="AD32"/>
  <c r="AE32"/>
  <c r="AF32"/>
  <c r="AD33"/>
  <c r="AE33"/>
  <c r="AF33"/>
  <c r="AD34"/>
  <c r="AE34"/>
  <c r="AF34"/>
  <c r="AD35"/>
  <c r="AE35"/>
  <c r="AF35"/>
  <c r="AD4"/>
  <c r="AE4"/>
  <c r="AF4"/>
  <c r="W5"/>
  <c r="X5"/>
  <c r="Y5"/>
  <c r="W6"/>
  <c r="X6"/>
  <c r="Y6"/>
  <c r="W7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4"/>
  <c r="X4"/>
  <c r="Y4"/>
  <c r="P4"/>
  <c r="Q4"/>
  <c r="R4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/>
  <c r="K15"/>
  <c r="I16"/>
  <c r="J16"/>
  <c r="K16"/>
  <c r="I17"/>
  <c r="J17"/>
  <c r="K17"/>
  <c r="I18"/>
  <c r="J18" s="1"/>
  <c r="I19"/>
  <c r="J19" s="1"/>
  <c r="I20"/>
  <c r="J20"/>
  <c r="K20"/>
  <c r="I21"/>
  <c r="J21" s="1"/>
  <c r="I22"/>
  <c r="J22"/>
  <c r="K22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/>
  <c r="K34"/>
  <c r="I35"/>
  <c r="J35" s="1"/>
  <c r="I4"/>
  <c r="J4"/>
  <c r="K4"/>
  <c r="B5"/>
  <c r="D5" s="1"/>
  <c r="B6"/>
  <c r="D6" s="1"/>
  <c r="B7"/>
  <c r="D7" s="1"/>
  <c r="B8"/>
  <c r="D8" s="1"/>
  <c r="B9"/>
  <c r="D9" s="1"/>
  <c r="B10"/>
  <c r="D10" s="1"/>
  <c r="B11"/>
  <c r="D11" s="1"/>
  <c r="B12"/>
  <c r="D12" s="1"/>
  <c r="B13"/>
  <c r="D13" s="1"/>
  <c r="B14"/>
  <c r="D14" s="1"/>
  <c r="B15"/>
  <c r="D15"/>
  <c r="B16"/>
  <c r="D16"/>
  <c r="B17"/>
  <c r="D17"/>
  <c r="B18"/>
  <c r="D18" s="1"/>
  <c r="B19"/>
  <c r="D19" s="1"/>
  <c r="B20"/>
  <c r="D20" s="1"/>
  <c r="B21"/>
  <c r="D21" s="1"/>
  <c r="B22"/>
  <c r="D22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D32" s="1"/>
  <c r="B33"/>
  <c r="D33"/>
  <c r="B34"/>
  <c r="D34"/>
  <c r="B35"/>
  <c r="D35" s="1"/>
  <c r="M5" i="4"/>
  <c r="AQ4" i="86"/>
  <c r="AQ37"/>
  <c r="M6" i="4"/>
  <c r="M7"/>
  <c r="M8"/>
  <c r="M9"/>
  <c r="M10"/>
  <c r="M11"/>
  <c r="M12"/>
  <c r="M13"/>
  <c r="M14"/>
  <c r="M16"/>
  <c r="M17"/>
  <c r="M19"/>
  <c r="M20"/>
  <c r="M22"/>
  <c r="M24"/>
  <c r="M25"/>
  <c r="M26"/>
  <c r="M27"/>
  <c r="M28"/>
  <c r="M29"/>
  <c r="M30"/>
  <c r="M31"/>
  <c r="M32"/>
  <c r="M33"/>
  <c r="M34"/>
  <c r="M35"/>
  <c r="H41"/>
  <c r="AQ38" i="86"/>
  <c r="L5" i="4"/>
  <c r="AP4" i="86"/>
  <c r="AP37"/>
  <c r="L6" i="4"/>
  <c r="L7"/>
  <c r="L8"/>
  <c r="L9"/>
  <c r="L10"/>
  <c r="L11"/>
  <c r="L12"/>
  <c r="L13"/>
  <c r="L14"/>
  <c r="L16"/>
  <c r="L17"/>
  <c r="L19"/>
  <c r="L20"/>
  <c r="L22"/>
  <c r="L24"/>
  <c r="L25"/>
  <c r="L26"/>
  <c r="L27"/>
  <c r="L28"/>
  <c r="L29"/>
  <c r="L30"/>
  <c r="L31"/>
  <c r="L32"/>
  <c r="L33"/>
  <c r="L34"/>
  <c r="L35"/>
  <c r="H40"/>
  <c r="AP38" i="86"/>
  <c r="K5" i="4"/>
  <c r="AO4" i="86"/>
  <c r="AO37"/>
  <c r="K6" i="4"/>
  <c r="K7"/>
  <c r="K8"/>
  <c r="K9"/>
  <c r="K10"/>
  <c r="K11"/>
  <c r="K12"/>
  <c r="K13"/>
  <c r="K14"/>
  <c r="K16"/>
  <c r="K17"/>
  <c r="K19"/>
  <c r="K20"/>
  <c r="K22"/>
  <c r="K24"/>
  <c r="K25"/>
  <c r="K26"/>
  <c r="K27"/>
  <c r="K28"/>
  <c r="K29"/>
  <c r="K30"/>
  <c r="K31"/>
  <c r="K32"/>
  <c r="K33"/>
  <c r="K34"/>
  <c r="K35"/>
  <c r="H39"/>
  <c r="AO38" i="86"/>
  <c r="J5" i="4"/>
  <c r="AN4" i="86"/>
  <c r="AN37"/>
  <c r="J6" i="4"/>
  <c r="J7"/>
  <c r="J8"/>
  <c r="J9"/>
  <c r="J10"/>
  <c r="J11"/>
  <c r="J12"/>
  <c r="J13"/>
  <c r="J14"/>
  <c r="J16"/>
  <c r="J17"/>
  <c r="J19"/>
  <c r="J20"/>
  <c r="J22"/>
  <c r="J24"/>
  <c r="J25"/>
  <c r="J26"/>
  <c r="J27"/>
  <c r="J28"/>
  <c r="J29"/>
  <c r="J30"/>
  <c r="J31"/>
  <c r="J32"/>
  <c r="J33"/>
  <c r="J34"/>
  <c r="J35"/>
  <c r="H38"/>
  <c r="AN38" i="86"/>
  <c r="G5" i="4"/>
  <c r="AJ4" i="86"/>
  <c r="AJ37"/>
  <c r="G6" i="4"/>
  <c r="G7"/>
  <c r="G8"/>
  <c r="G9"/>
  <c r="G10"/>
  <c r="G11"/>
  <c r="G12"/>
  <c r="G13"/>
  <c r="G14"/>
  <c r="G15"/>
  <c r="G19"/>
  <c r="G20"/>
  <c r="G25"/>
  <c r="G26"/>
  <c r="G27"/>
  <c r="G28"/>
  <c r="G29"/>
  <c r="G30"/>
  <c r="G31"/>
  <c r="G32"/>
  <c r="G33"/>
  <c r="G34"/>
  <c r="G35"/>
  <c r="G17"/>
  <c r="G18"/>
  <c r="G43"/>
  <c r="G21"/>
  <c r="G22"/>
  <c r="G44"/>
  <c r="G23"/>
  <c r="G24"/>
  <c r="G45"/>
  <c r="B41"/>
  <c r="AJ38" i="86"/>
  <c r="F5" i="4"/>
  <c r="AI4" i="86"/>
  <c r="AI37"/>
  <c r="F6" i="4"/>
  <c r="F7"/>
  <c r="F8"/>
  <c r="F9"/>
  <c r="F10"/>
  <c r="F11"/>
  <c r="F12"/>
  <c r="F13"/>
  <c r="F14"/>
  <c r="F16"/>
  <c r="F17"/>
  <c r="F19"/>
  <c r="F20"/>
  <c r="F22"/>
  <c r="F24"/>
  <c r="F25"/>
  <c r="F26"/>
  <c r="F27"/>
  <c r="F28"/>
  <c r="F29"/>
  <c r="F30"/>
  <c r="F31"/>
  <c r="F32"/>
  <c r="F33"/>
  <c r="F34"/>
  <c r="F35"/>
  <c r="B40"/>
  <c r="AI38" i="86"/>
  <c r="E5" i="4"/>
  <c r="AH4" i="86"/>
  <c r="AH37"/>
  <c r="E6" i="4"/>
  <c r="E7"/>
  <c r="E8"/>
  <c r="E9"/>
  <c r="E10"/>
  <c r="E11"/>
  <c r="E12"/>
  <c r="E13"/>
  <c r="E14"/>
  <c r="E16"/>
  <c r="E17"/>
  <c r="E19"/>
  <c r="E20"/>
  <c r="E22"/>
  <c r="E24"/>
  <c r="E25"/>
  <c r="E26"/>
  <c r="E27"/>
  <c r="E28"/>
  <c r="E29"/>
  <c r="E30"/>
  <c r="E31"/>
  <c r="E32"/>
  <c r="E33"/>
  <c r="E34"/>
  <c r="E35"/>
  <c r="B39"/>
  <c r="AH38" i="86"/>
  <c r="D5" i="4"/>
  <c r="AG4" i="86"/>
  <c r="AG37"/>
  <c r="D6" i="4"/>
  <c r="D7"/>
  <c r="D8"/>
  <c r="D9"/>
  <c r="D10"/>
  <c r="D11"/>
  <c r="D12"/>
  <c r="D13"/>
  <c r="D14"/>
  <c r="D16"/>
  <c r="D17"/>
  <c r="D19"/>
  <c r="D20"/>
  <c r="D22"/>
  <c r="D24"/>
  <c r="D25"/>
  <c r="D26"/>
  <c r="D27"/>
  <c r="D28"/>
  <c r="D29"/>
  <c r="D30"/>
  <c r="D31"/>
  <c r="D32"/>
  <c r="D33"/>
  <c r="D34"/>
  <c r="D35"/>
  <c r="B38"/>
  <c r="AG38" i="86"/>
  <c r="AC4"/>
  <c r="AC37"/>
  <c r="AC38"/>
  <c r="AB4"/>
  <c r="AB37"/>
  <c r="AB38"/>
  <c r="AA4"/>
  <c r="AA37"/>
  <c r="AA38"/>
  <c r="Z4"/>
  <c r="Z37"/>
  <c r="Z38"/>
  <c r="V4"/>
  <c r="V37"/>
  <c r="V38"/>
  <c r="U4"/>
  <c r="U37"/>
  <c r="U38"/>
  <c r="T4"/>
  <c r="T37"/>
  <c r="T38"/>
  <c r="S4"/>
  <c r="S37"/>
  <c r="S38"/>
  <c r="O4"/>
  <c r="O37"/>
  <c r="O38" s="1"/>
  <c r="N4"/>
  <c r="N37"/>
  <c r="N38" s="1"/>
  <c r="M4"/>
  <c r="M37"/>
  <c r="M38" s="1"/>
  <c r="L4"/>
  <c r="L37"/>
  <c r="L38" s="1"/>
  <c r="AL35" i="85"/>
  <c r="AP35"/>
  <c r="AE35"/>
  <c r="AI35"/>
  <c r="X35"/>
  <c r="AB35"/>
  <c r="Q35"/>
  <c r="U35"/>
  <c r="J35"/>
  <c r="N35"/>
  <c r="D35"/>
  <c r="C35"/>
  <c r="G35"/>
  <c r="AL34"/>
  <c r="AP34"/>
  <c r="AE34"/>
  <c r="AI34"/>
  <c r="X34"/>
  <c r="AB34"/>
  <c r="Q34"/>
  <c r="U34"/>
  <c r="J34"/>
  <c r="N34"/>
  <c r="D34"/>
  <c r="C34"/>
  <c r="G34"/>
  <c r="AL33"/>
  <c r="AP33"/>
  <c r="AE33"/>
  <c r="AI33"/>
  <c r="X33"/>
  <c r="AB33"/>
  <c r="Q33"/>
  <c r="U33"/>
  <c r="J33"/>
  <c r="N33"/>
  <c r="D33"/>
  <c r="C33"/>
  <c r="G33"/>
  <c r="AL32"/>
  <c r="AP32"/>
  <c r="AE32"/>
  <c r="AI32"/>
  <c r="X32"/>
  <c r="AB32"/>
  <c r="Q32"/>
  <c r="U32"/>
  <c r="J32"/>
  <c r="N32"/>
  <c r="D32"/>
  <c r="C32"/>
  <c r="G32"/>
  <c r="AL31"/>
  <c r="AP31"/>
  <c r="AE31"/>
  <c r="AI31"/>
  <c r="X31"/>
  <c r="AB31"/>
  <c r="Q31"/>
  <c r="U31"/>
  <c r="J31"/>
  <c r="N31"/>
  <c r="D31"/>
  <c r="C31"/>
  <c r="G31"/>
  <c r="AL30"/>
  <c r="AP30"/>
  <c r="AE30"/>
  <c r="AI30"/>
  <c r="X30"/>
  <c r="AB30"/>
  <c r="Q30"/>
  <c r="U30"/>
  <c r="J30"/>
  <c r="N30"/>
  <c r="D30"/>
  <c r="C30"/>
  <c r="G30"/>
  <c r="AL29"/>
  <c r="AP29"/>
  <c r="AE29"/>
  <c r="AI29"/>
  <c r="X29"/>
  <c r="AB29"/>
  <c r="Q29"/>
  <c r="U29"/>
  <c r="J29"/>
  <c r="N29"/>
  <c r="D29"/>
  <c r="C29"/>
  <c r="G29"/>
  <c r="AL28"/>
  <c r="AP28"/>
  <c r="AE28"/>
  <c r="AI28"/>
  <c r="X28"/>
  <c r="AB28"/>
  <c r="Q28"/>
  <c r="U28"/>
  <c r="J28"/>
  <c r="N28"/>
  <c r="D28"/>
  <c r="C28"/>
  <c r="G28"/>
  <c r="AL27"/>
  <c r="AP27"/>
  <c r="AE27"/>
  <c r="AI27"/>
  <c r="X27"/>
  <c r="AB27"/>
  <c r="Q27"/>
  <c r="U27"/>
  <c r="J27"/>
  <c r="N27"/>
  <c r="D27"/>
  <c r="C27"/>
  <c r="G27"/>
  <c r="AL26"/>
  <c r="AP26"/>
  <c r="AE26"/>
  <c r="AI26"/>
  <c r="X26"/>
  <c r="AB26"/>
  <c r="Q26"/>
  <c r="U26"/>
  <c r="J26"/>
  <c r="N26"/>
  <c r="D26"/>
  <c r="C26"/>
  <c r="G26"/>
  <c r="AL25"/>
  <c r="AP25"/>
  <c r="AE25"/>
  <c r="AI25"/>
  <c r="X25"/>
  <c r="AB25"/>
  <c r="Q25"/>
  <c r="U25"/>
  <c r="J25"/>
  <c r="N25"/>
  <c r="D25"/>
  <c r="C25"/>
  <c r="G25"/>
  <c r="AL24"/>
  <c r="AP24"/>
  <c r="AE24"/>
  <c r="AI24"/>
  <c r="X24"/>
  <c r="AB24"/>
  <c r="Q24"/>
  <c r="U24"/>
  <c r="J24"/>
  <c r="N24"/>
  <c r="D24"/>
  <c r="C24"/>
  <c r="G24"/>
  <c r="AL23"/>
  <c r="AP23"/>
  <c r="AE23"/>
  <c r="X23"/>
  <c r="Z23"/>
  <c r="Q23"/>
  <c r="J23"/>
  <c r="L23"/>
  <c r="C23"/>
  <c r="G23"/>
  <c r="D23"/>
  <c r="AL22"/>
  <c r="AE22"/>
  <c r="D23" i="4"/>
  <c r="AG22" i="85"/>
  <c r="X22"/>
  <c r="Q22"/>
  <c r="J22"/>
  <c r="M23" i="4"/>
  <c r="O22" i="85"/>
  <c r="D22"/>
  <c r="C22"/>
  <c r="H22"/>
  <c r="AL21"/>
  <c r="AQ21"/>
  <c r="AE21"/>
  <c r="AJ21"/>
  <c r="X21"/>
  <c r="AC21"/>
  <c r="Q21"/>
  <c r="V21"/>
  <c r="J21"/>
  <c r="O21"/>
  <c r="D21"/>
  <c r="C21"/>
  <c r="H21"/>
  <c r="AL20"/>
  <c r="M21" i="4"/>
  <c r="AQ20" i="85"/>
  <c r="AE20"/>
  <c r="AJ20"/>
  <c r="X20"/>
  <c r="AC20"/>
  <c r="Q20"/>
  <c r="V20"/>
  <c r="J20"/>
  <c r="O20"/>
  <c r="D20"/>
  <c r="C20"/>
  <c r="H20"/>
  <c r="AL19"/>
  <c r="AQ19"/>
  <c r="AE19"/>
  <c r="AJ19"/>
  <c r="X19"/>
  <c r="AC19"/>
  <c r="Q19"/>
  <c r="V19"/>
  <c r="J19"/>
  <c r="O19"/>
  <c r="D19"/>
  <c r="C19"/>
  <c r="H19"/>
  <c r="AL18"/>
  <c r="AQ18"/>
  <c r="AE18"/>
  <c r="AJ18"/>
  <c r="X18"/>
  <c r="AC18"/>
  <c r="Q18"/>
  <c r="V18"/>
  <c r="J18"/>
  <c r="O18"/>
  <c r="D18"/>
  <c r="C18"/>
  <c r="H18"/>
  <c r="AL17"/>
  <c r="M18" i="4"/>
  <c r="AQ17" i="85"/>
  <c r="AE17"/>
  <c r="AJ17"/>
  <c r="X17"/>
  <c r="AC17"/>
  <c r="Q17"/>
  <c r="V17"/>
  <c r="J17"/>
  <c r="O17"/>
  <c r="D17"/>
  <c r="C17"/>
  <c r="H17"/>
  <c r="AL16"/>
  <c r="AQ16"/>
  <c r="AE16"/>
  <c r="AJ16"/>
  <c r="X16"/>
  <c r="AC16"/>
  <c r="Q16"/>
  <c r="V16"/>
  <c r="J16"/>
  <c r="O16"/>
  <c r="D16"/>
  <c r="C16"/>
  <c r="H16"/>
  <c r="AL15"/>
  <c r="AQ15"/>
  <c r="AE15"/>
  <c r="G16" i="4"/>
  <c r="AJ15" i="85"/>
  <c r="X15"/>
  <c r="AC15"/>
  <c r="Q15"/>
  <c r="V15"/>
  <c r="J15"/>
  <c r="O15"/>
  <c r="D15"/>
  <c r="C15"/>
  <c r="H15"/>
  <c r="AL14"/>
  <c r="M15" i="4"/>
  <c r="AQ14" i="85"/>
  <c r="AE14"/>
  <c r="AJ14"/>
  <c r="X14"/>
  <c r="AC14"/>
  <c r="Q14"/>
  <c r="V14"/>
  <c r="J14"/>
  <c r="O14"/>
  <c r="D14"/>
  <c r="C14"/>
  <c r="H14"/>
  <c r="AL13"/>
  <c r="AQ13"/>
  <c r="AE13"/>
  <c r="AJ13"/>
  <c r="X13"/>
  <c r="AC13"/>
  <c r="Q13"/>
  <c r="V13"/>
  <c r="J13"/>
  <c r="O13"/>
  <c r="D13"/>
  <c r="C13"/>
  <c r="H13"/>
  <c r="AL12"/>
  <c r="AQ12"/>
  <c r="AE12"/>
  <c r="AJ12"/>
  <c r="X12"/>
  <c r="AC12"/>
  <c r="Q12"/>
  <c r="V12"/>
  <c r="J12"/>
  <c r="O12"/>
  <c r="D12"/>
  <c r="C12"/>
  <c r="H12"/>
  <c r="AL11"/>
  <c r="AQ11"/>
  <c r="AE11"/>
  <c r="X11"/>
  <c r="Z11"/>
  <c r="Q11"/>
  <c r="J11"/>
  <c r="L11"/>
  <c r="C11"/>
  <c r="G11"/>
  <c r="D11"/>
  <c r="AL10"/>
  <c r="AE10"/>
  <c r="AG10"/>
  <c r="X10"/>
  <c r="Q10"/>
  <c r="S10"/>
  <c r="J10"/>
  <c r="D10"/>
  <c r="C10"/>
  <c r="AL9"/>
  <c r="AN9"/>
  <c r="AE9"/>
  <c r="X9"/>
  <c r="Z9"/>
  <c r="Q9"/>
  <c r="J9"/>
  <c r="L9"/>
  <c r="C9"/>
  <c r="G9"/>
  <c r="D9"/>
  <c r="AL8"/>
  <c r="AE8"/>
  <c r="AG8"/>
  <c r="X8"/>
  <c r="Q8"/>
  <c r="S8"/>
  <c r="J8"/>
  <c r="D8"/>
  <c r="C8"/>
  <c r="AL7"/>
  <c r="AN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O4"/>
  <c r="AM4"/>
  <c r="AP4"/>
  <c r="AE4"/>
  <c r="AJ4"/>
  <c r="AH4"/>
  <c r="AF4"/>
  <c r="AI4"/>
  <c r="X4"/>
  <c r="AC4"/>
  <c r="AA4"/>
  <c r="Y4"/>
  <c r="AB4"/>
  <c r="Q4"/>
  <c r="V4"/>
  <c r="T4"/>
  <c r="R4"/>
  <c r="U4"/>
  <c r="J4"/>
  <c r="O4"/>
  <c r="M4"/>
  <c r="K4"/>
  <c r="N4"/>
  <c r="D4"/>
  <c r="C4"/>
  <c r="G4"/>
  <c r="AD1"/>
  <c r="P1"/>
  <c r="AL35" i="84"/>
  <c r="AQ35"/>
  <c r="AO35"/>
  <c r="AM35"/>
  <c r="AP35"/>
  <c r="AE35"/>
  <c r="AJ35"/>
  <c r="AH35"/>
  <c r="AF35"/>
  <c r="AI35"/>
  <c r="X35"/>
  <c r="AC35"/>
  <c r="AA35"/>
  <c r="Y35"/>
  <c r="AB35"/>
  <c r="Q35"/>
  <c r="V35"/>
  <c r="T35"/>
  <c r="R35"/>
  <c r="U35"/>
  <c r="J35"/>
  <c r="O35"/>
  <c r="M35"/>
  <c r="K35"/>
  <c r="N35"/>
  <c r="C35"/>
  <c r="H35"/>
  <c r="F35"/>
  <c r="D35"/>
  <c r="G35"/>
  <c r="AL34"/>
  <c r="AQ34"/>
  <c r="AO34"/>
  <c r="AM34"/>
  <c r="AP34"/>
  <c r="AE34"/>
  <c r="AJ34"/>
  <c r="AH34"/>
  <c r="AF34"/>
  <c r="AI34"/>
  <c r="X34"/>
  <c r="AC34"/>
  <c r="AA34"/>
  <c r="Y34"/>
  <c r="AB34"/>
  <c r="Q34"/>
  <c r="V34"/>
  <c r="T34"/>
  <c r="R34"/>
  <c r="U34"/>
  <c r="J34"/>
  <c r="O34"/>
  <c r="M34"/>
  <c r="K34"/>
  <c r="N34"/>
  <c r="C34"/>
  <c r="H34"/>
  <c r="F34"/>
  <c r="D34"/>
  <c r="G34"/>
  <c r="AL33"/>
  <c r="AQ33"/>
  <c r="AO33"/>
  <c r="AM33"/>
  <c r="AP33"/>
  <c r="AE33"/>
  <c r="AJ33"/>
  <c r="AH33"/>
  <c r="AF33"/>
  <c r="AI33"/>
  <c r="X33"/>
  <c r="AC33"/>
  <c r="AA33"/>
  <c r="Y33"/>
  <c r="AB33"/>
  <c r="Q33"/>
  <c r="V33"/>
  <c r="T33"/>
  <c r="R33"/>
  <c r="U33"/>
  <c r="J33"/>
  <c r="O33"/>
  <c r="M33"/>
  <c r="K33"/>
  <c r="N33"/>
  <c r="C33"/>
  <c r="H33"/>
  <c r="F33"/>
  <c r="D33"/>
  <c r="G33"/>
  <c r="AL32"/>
  <c r="AQ32"/>
  <c r="AO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J23" i="4"/>
  <c r="K23"/>
  <c r="AO22" i="84"/>
  <c r="AM22"/>
  <c r="L23" i="4"/>
  <c r="AP22" i="84"/>
  <c r="AE22"/>
  <c r="AJ22"/>
  <c r="E23" i="4"/>
  <c r="AH22" i="84"/>
  <c r="AF22"/>
  <c r="F23" i="4"/>
  <c r="AI22" i="84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K21" i="4"/>
  <c r="AO20" i="84"/>
  <c r="AM20"/>
  <c r="L21" i="4"/>
  <c r="AP20" i="84"/>
  <c r="AE20"/>
  <c r="AJ20"/>
  <c r="E21" i="4"/>
  <c r="AH20" i="84"/>
  <c r="AF20"/>
  <c r="F21" i="4"/>
  <c r="AI20" i="84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K18" i="4"/>
  <c r="AO17" i="84"/>
  <c r="AM17"/>
  <c r="L18" i="4"/>
  <c r="AP17" i="84"/>
  <c r="AE17"/>
  <c r="AJ17"/>
  <c r="E18" i="4"/>
  <c r="AH17" i="84"/>
  <c r="AF17"/>
  <c r="F18" i="4"/>
  <c r="AI17" i="84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AJ16"/>
  <c r="AF16"/>
  <c r="X16"/>
  <c r="AC16"/>
  <c r="AA16"/>
  <c r="Y16"/>
  <c r="AB16"/>
  <c r="Q16"/>
  <c r="V16"/>
  <c r="T16"/>
  <c r="R16"/>
  <c r="U16"/>
  <c r="J16"/>
  <c r="O16"/>
  <c r="M16"/>
  <c r="K16"/>
  <c r="N16"/>
  <c r="C16"/>
  <c r="H16"/>
  <c r="F16"/>
  <c r="D16"/>
  <c r="G16"/>
  <c r="AL15"/>
  <c r="AQ15"/>
  <c r="AO15"/>
  <c r="AM15"/>
  <c r="AP15"/>
  <c r="AE15"/>
  <c r="AJ15"/>
  <c r="AH15"/>
  <c r="AF15"/>
  <c r="AI15"/>
  <c r="X15"/>
  <c r="AC15"/>
  <c r="AA15"/>
  <c r="Y15"/>
  <c r="AB15"/>
  <c r="Q15"/>
  <c r="V15"/>
  <c r="T15"/>
  <c r="R15"/>
  <c r="U15"/>
  <c r="J15"/>
  <c r="O15"/>
  <c r="M15"/>
  <c r="K15"/>
  <c r="N15"/>
  <c r="C15"/>
  <c r="H15"/>
  <c r="F15"/>
  <c r="D15"/>
  <c r="G15"/>
  <c r="AL14"/>
  <c r="AQ14"/>
  <c r="K15" i="4"/>
  <c r="AO14" i="84"/>
  <c r="AM14"/>
  <c r="L15" i="4"/>
  <c r="AP14" i="84"/>
  <c r="AE14"/>
  <c r="AJ14"/>
  <c r="E15" i="4"/>
  <c r="AH14" i="84"/>
  <c r="AF14"/>
  <c r="F15" i="4"/>
  <c r="AI14" i="84"/>
  <c r="X14"/>
  <c r="AC14"/>
  <c r="AA14"/>
  <c r="Y14"/>
  <c r="AB14"/>
  <c r="Q14"/>
  <c r="V14"/>
  <c r="T14"/>
  <c r="R14"/>
  <c r="U14"/>
  <c r="J14"/>
  <c r="O14"/>
  <c r="M14"/>
  <c r="K14"/>
  <c r="N14"/>
  <c r="C14"/>
  <c r="H14"/>
  <c r="F14"/>
  <c r="D14"/>
  <c r="G14"/>
  <c r="AL13"/>
  <c r="AQ13"/>
  <c r="AO13"/>
  <c r="AM13"/>
  <c r="AP13"/>
  <c r="AE13"/>
  <c r="AJ13"/>
  <c r="AH13"/>
  <c r="AF13"/>
  <c r="AI13"/>
  <c r="X13"/>
  <c r="AC13"/>
  <c r="AA13"/>
  <c r="Y13"/>
  <c r="AB13"/>
  <c r="Q13"/>
  <c r="V13"/>
  <c r="T13"/>
  <c r="R13"/>
  <c r="U13"/>
  <c r="J13"/>
  <c r="O13"/>
  <c r="M13"/>
  <c r="K13"/>
  <c r="N13"/>
  <c r="C13"/>
  <c r="H13"/>
  <c r="F13"/>
  <c r="D13"/>
  <c r="G13"/>
  <c r="AL12"/>
  <c r="AQ12"/>
  <c r="AO12"/>
  <c r="AM12"/>
  <c r="AP12"/>
  <c r="AE12"/>
  <c r="AJ12"/>
  <c r="AH12"/>
  <c r="AF12"/>
  <c r="AI12"/>
  <c r="X12"/>
  <c r="AC12"/>
  <c r="AA12"/>
  <c r="Y12"/>
  <c r="AB12"/>
  <c r="Q12"/>
  <c r="V12"/>
  <c r="T12"/>
  <c r="R12"/>
  <c r="U12"/>
  <c r="J12"/>
  <c r="O12"/>
  <c r="M12"/>
  <c r="K12"/>
  <c r="N12"/>
  <c r="C12"/>
  <c r="H12"/>
  <c r="F12"/>
  <c r="D12"/>
  <c r="G12"/>
  <c r="AL11"/>
  <c r="AQ11"/>
  <c r="AO11"/>
  <c r="AM11"/>
  <c r="AP11"/>
  <c r="AE11"/>
  <c r="AJ11"/>
  <c r="AH11"/>
  <c r="AF11"/>
  <c r="AI11"/>
  <c r="X11"/>
  <c r="AC11"/>
  <c r="AA11"/>
  <c r="Y11"/>
  <c r="AB11"/>
  <c r="Q11"/>
  <c r="V11"/>
  <c r="T11"/>
  <c r="R11"/>
  <c r="U11"/>
  <c r="J11"/>
  <c r="O11"/>
  <c r="M11"/>
  <c r="K11"/>
  <c r="N11"/>
  <c r="C11"/>
  <c r="H11"/>
  <c r="F11"/>
  <c r="D11"/>
  <c r="G11"/>
  <c r="AL10"/>
  <c r="AQ10"/>
  <c r="AO10"/>
  <c r="AM10"/>
  <c r="AP10"/>
  <c r="AE10"/>
  <c r="AJ10"/>
  <c r="AH10"/>
  <c r="AF10"/>
  <c r="AI10"/>
  <c r="X10"/>
  <c r="AC10"/>
  <c r="AA10"/>
  <c r="Y10"/>
  <c r="AB10"/>
  <c r="Q10"/>
  <c r="V10"/>
  <c r="T10"/>
  <c r="R10"/>
  <c r="U10"/>
  <c r="J10"/>
  <c r="O10"/>
  <c r="M10"/>
  <c r="K10"/>
  <c r="N10"/>
  <c r="C10"/>
  <c r="H10"/>
  <c r="F10"/>
  <c r="D10"/>
  <c r="G10"/>
  <c r="AL9"/>
  <c r="AQ9"/>
  <c r="AO9"/>
  <c r="AM9"/>
  <c r="AP9"/>
  <c r="AE9"/>
  <c r="AJ9"/>
  <c r="AH9"/>
  <c r="AF9"/>
  <c r="AI9"/>
  <c r="X9"/>
  <c r="AC9"/>
  <c r="AA9"/>
  <c r="Y9"/>
  <c r="AB9"/>
  <c r="Q9"/>
  <c r="V9"/>
  <c r="T9"/>
  <c r="R9"/>
  <c r="U9"/>
  <c r="J9"/>
  <c r="O9"/>
  <c r="M9"/>
  <c r="K9"/>
  <c r="N9"/>
  <c r="C9"/>
  <c r="H9"/>
  <c r="F9"/>
  <c r="D9"/>
  <c r="G9"/>
  <c r="AL8"/>
  <c r="AQ8"/>
  <c r="AO8"/>
  <c r="AM8"/>
  <c r="AP8"/>
  <c r="AE8"/>
  <c r="AJ8"/>
  <c r="AH8"/>
  <c r="AF8"/>
  <c r="AI8"/>
  <c r="X8"/>
  <c r="AC8"/>
  <c r="AA8"/>
  <c r="Y8"/>
  <c r="AB8"/>
  <c r="Q8"/>
  <c r="V8"/>
  <c r="T8"/>
  <c r="R8"/>
  <c r="U8"/>
  <c r="J8"/>
  <c r="O8"/>
  <c r="M8"/>
  <c r="K8"/>
  <c r="N8"/>
  <c r="C8"/>
  <c r="H8"/>
  <c r="F8"/>
  <c r="D8"/>
  <c r="G8"/>
  <c r="AL7"/>
  <c r="AQ7"/>
  <c r="AO7"/>
  <c r="AM7"/>
  <c r="AP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Q37"/>
  <c r="AQ38"/>
  <c r="AO4"/>
  <c r="AO37"/>
  <c r="AO38"/>
  <c r="AM4"/>
  <c r="AP4"/>
  <c r="AP37"/>
  <c r="AP38"/>
  <c r="AE4"/>
  <c r="AJ4"/>
  <c r="AJ37"/>
  <c r="AJ38"/>
  <c r="AH4"/>
  <c r="AF4"/>
  <c r="AI4"/>
  <c r="X4"/>
  <c r="AC4"/>
  <c r="AC37"/>
  <c r="AC38"/>
  <c r="AA4"/>
  <c r="AA37"/>
  <c r="AA38"/>
  <c r="Y4"/>
  <c r="AB4"/>
  <c r="AB37"/>
  <c r="AB38"/>
  <c r="Q4"/>
  <c r="V4"/>
  <c r="V37"/>
  <c r="V38"/>
  <c r="T4"/>
  <c r="T37"/>
  <c r="T38"/>
  <c r="R4"/>
  <c r="U4"/>
  <c r="U37"/>
  <c r="U38"/>
  <c r="J4"/>
  <c r="O4"/>
  <c r="O37"/>
  <c r="O38"/>
  <c r="M4"/>
  <c r="M37"/>
  <c r="M38"/>
  <c r="K4"/>
  <c r="N4"/>
  <c r="N37"/>
  <c r="N38"/>
  <c r="D4"/>
  <c r="C4"/>
  <c r="G4"/>
  <c r="G37"/>
  <c r="G38"/>
  <c r="AD1"/>
  <c r="P1"/>
  <c r="AL35" i="83"/>
  <c r="AQ35"/>
  <c r="AO35"/>
  <c r="AM35"/>
  <c r="AP35"/>
  <c r="AE35"/>
  <c r="AJ35"/>
  <c r="AH35"/>
  <c r="AF35"/>
  <c r="AI35"/>
  <c r="X35"/>
  <c r="AC35"/>
  <c r="AA35"/>
  <c r="Y35"/>
  <c r="AB35"/>
  <c r="Q35"/>
  <c r="V35"/>
  <c r="T35"/>
  <c r="R35"/>
  <c r="U35"/>
  <c r="J35"/>
  <c r="O35"/>
  <c r="M35"/>
  <c r="K35"/>
  <c r="N35"/>
  <c r="C35"/>
  <c r="H35"/>
  <c r="F35"/>
  <c r="D35"/>
  <c r="G35"/>
  <c r="AL34"/>
  <c r="AQ34"/>
  <c r="AO34"/>
  <c r="AM34"/>
  <c r="AP34"/>
  <c r="AE34"/>
  <c r="AJ34"/>
  <c r="AH34"/>
  <c r="AF34"/>
  <c r="AI34"/>
  <c r="X34"/>
  <c r="AC34"/>
  <c r="AA34"/>
  <c r="Y34"/>
  <c r="AB34"/>
  <c r="Q34"/>
  <c r="V34"/>
  <c r="T34"/>
  <c r="R34"/>
  <c r="U34"/>
  <c r="J34"/>
  <c r="O34"/>
  <c r="M34"/>
  <c r="K34"/>
  <c r="N34"/>
  <c r="C34"/>
  <c r="H34"/>
  <c r="F34"/>
  <c r="D34"/>
  <c r="G34"/>
  <c r="AL33"/>
  <c r="AQ33"/>
  <c r="AO33"/>
  <c r="AM33"/>
  <c r="AP33"/>
  <c r="AE33"/>
  <c r="AJ33"/>
  <c r="AH33"/>
  <c r="AF33"/>
  <c r="AI33"/>
  <c r="X33"/>
  <c r="AC33"/>
  <c r="AA33"/>
  <c r="Y33"/>
  <c r="AB33"/>
  <c r="Q33"/>
  <c r="V33"/>
  <c r="T33"/>
  <c r="R33"/>
  <c r="U33"/>
  <c r="J33"/>
  <c r="O33"/>
  <c r="M33"/>
  <c r="K33"/>
  <c r="N33"/>
  <c r="C33"/>
  <c r="H33"/>
  <c r="F33"/>
  <c r="D33"/>
  <c r="G33"/>
  <c r="AL32"/>
  <c r="AQ32"/>
  <c r="AO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AO22"/>
  <c r="AM22"/>
  <c r="AP22"/>
  <c r="AE22"/>
  <c r="AJ22"/>
  <c r="AH22"/>
  <c r="AF22"/>
  <c r="AI22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AO20"/>
  <c r="AM20"/>
  <c r="AP20"/>
  <c r="AE20"/>
  <c r="AJ20"/>
  <c r="AH20"/>
  <c r="AF20"/>
  <c r="AI20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AO17"/>
  <c r="AM17"/>
  <c r="AP17"/>
  <c r="AE17"/>
  <c r="AJ17"/>
  <c r="AH17"/>
  <c r="AF17"/>
  <c r="AI17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AJ16"/>
  <c r="AF16"/>
  <c r="X16"/>
  <c r="AC16"/>
  <c r="AA16"/>
  <c r="Y16"/>
  <c r="AB16"/>
  <c r="Q16"/>
  <c r="V16"/>
  <c r="T16"/>
  <c r="R16"/>
  <c r="U16"/>
  <c r="J16"/>
  <c r="O16"/>
  <c r="M16"/>
  <c r="K16"/>
  <c r="N16"/>
  <c r="C16"/>
  <c r="H16"/>
  <c r="F16"/>
  <c r="D16"/>
  <c r="G16"/>
  <c r="AL15"/>
  <c r="AQ15"/>
  <c r="AO15"/>
  <c r="AM15"/>
  <c r="AP15"/>
  <c r="AE15"/>
  <c r="AJ15"/>
  <c r="AH15"/>
  <c r="AF15"/>
  <c r="AI15"/>
  <c r="X15"/>
  <c r="AC15"/>
  <c r="AA15"/>
  <c r="Y15"/>
  <c r="AB15"/>
  <c r="Q15"/>
  <c r="V15"/>
  <c r="T15"/>
  <c r="R15"/>
  <c r="U15"/>
  <c r="J15"/>
  <c r="O15"/>
  <c r="M15"/>
  <c r="K15"/>
  <c r="N15"/>
  <c r="C15"/>
  <c r="H15"/>
  <c r="F15"/>
  <c r="D15"/>
  <c r="G15"/>
  <c r="AL14"/>
  <c r="AQ14"/>
  <c r="AO14"/>
  <c r="AM14"/>
  <c r="AP14"/>
  <c r="AE14"/>
  <c r="AJ14"/>
  <c r="AH14"/>
  <c r="AF14"/>
  <c r="AI14"/>
  <c r="X14"/>
  <c r="AC14"/>
  <c r="AA14"/>
  <c r="Y14"/>
  <c r="AB14"/>
  <c r="Q14"/>
  <c r="V14"/>
  <c r="T14"/>
  <c r="R14"/>
  <c r="U14"/>
  <c r="J14"/>
  <c r="O14"/>
  <c r="M14"/>
  <c r="K14"/>
  <c r="N14"/>
  <c r="C14"/>
  <c r="H14"/>
  <c r="F14"/>
  <c r="D14"/>
  <c r="G14"/>
  <c r="AL13"/>
  <c r="AQ13"/>
  <c r="AO13"/>
  <c r="AM13"/>
  <c r="AP13"/>
  <c r="AE13"/>
  <c r="AJ13"/>
  <c r="AH13"/>
  <c r="AF13"/>
  <c r="AI13"/>
  <c r="X13"/>
  <c r="AC13"/>
  <c r="AA13"/>
  <c r="Y13"/>
  <c r="AB13"/>
  <c r="Q13"/>
  <c r="V13"/>
  <c r="T13"/>
  <c r="R13"/>
  <c r="U13"/>
  <c r="J13"/>
  <c r="O13"/>
  <c r="M13"/>
  <c r="K13"/>
  <c r="N13"/>
  <c r="C13"/>
  <c r="H13"/>
  <c r="F13"/>
  <c r="D13"/>
  <c r="G13"/>
  <c r="AL12"/>
  <c r="AQ12"/>
  <c r="AO12"/>
  <c r="AM12"/>
  <c r="AP12"/>
  <c r="AE12"/>
  <c r="AJ12"/>
  <c r="AH12"/>
  <c r="AF12"/>
  <c r="AI12"/>
  <c r="X12"/>
  <c r="AC12"/>
  <c r="AA12"/>
  <c r="Y12"/>
  <c r="AB12"/>
  <c r="Q12"/>
  <c r="V12"/>
  <c r="T12"/>
  <c r="R12"/>
  <c r="U12"/>
  <c r="J12"/>
  <c r="O12"/>
  <c r="M12"/>
  <c r="K12"/>
  <c r="N12"/>
  <c r="C12"/>
  <c r="H12"/>
  <c r="F12"/>
  <c r="D12"/>
  <c r="G12"/>
  <c r="AL11"/>
  <c r="AQ11"/>
  <c r="AO11"/>
  <c r="AM11"/>
  <c r="AP11"/>
  <c r="AE11"/>
  <c r="AJ11"/>
  <c r="AH11"/>
  <c r="AF11"/>
  <c r="AI11"/>
  <c r="X11"/>
  <c r="AC11"/>
  <c r="AA11"/>
  <c r="Y11"/>
  <c r="AB11"/>
  <c r="Q11"/>
  <c r="V11"/>
  <c r="T11"/>
  <c r="R11"/>
  <c r="U11"/>
  <c r="J11"/>
  <c r="O11"/>
  <c r="M11"/>
  <c r="K11"/>
  <c r="N11"/>
  <c r="C11"/>
  <c r="H11"/>
  <c r="F11"/>
  <c r="D11"/>
  <c r="G11"/>
  <c r="AL10"/>
  <c r="AQ10"/>
  <c r="AO10"/>
  <c r="AM10"/>
  <c r="AP10"/>
  <c r="AE10"/>
  <c r="AJ10"/>
  <c r="AH10"/>
  <c r="AF10"/>
  <c r="AI10"/>
  <c r="X10"/>
  <c r="AC10"/>
  <c r="AA10"/>
  <c r="Y10"/>
  <c r="AB10"/>
  <c r="Q10"/>
  <c r="V10"/>
  <c r="T10"/>
  <c r="R10"/>
  <c r="U10"/>
  <c r="J10"/>
  <c r="O10"/>
  <c r="M10"/>
  <c r="K10"/>
  <c r="N10"/>
  <c r="C10"/>
  <c r="H10"/>
  <c r="F10"/>
  <c r="D10"/>
  <c r="G10"/>
  <c r="AL9"/>
  <c r="AQ9"/>
  <c r="AO9"/>
  <c r="AM9"/>
  <c r="AP9"/>
  <c r="AE9"/>
  <c r="AJ9"/>
  <c r="AH9"/>
  <c r="AF9"/>
  <c r="AI9"/>
  <c r="X9"/>
  <c r="AC9"/>
  <c r="AA9"/>
  <c r="Y9"/>
  <c r="AB9"/>
  <c r="Q9"/>
  <c r="V9"/>
  <c r="T9"/>
  <c r="R9"/>
  <c r="U9"/>
  <c r="J9"/>
  <c r="O9"/>
  <c r="M9"/>
  <c r="K9"/>
  <c r="N9"/>
  <c r="C9"/>
  <c r="H9"/>
  <c r="F9"/>
  <c r="D9"/>
  <c r="G9"/>
  <c r="AL8"/>
  <c r="AQ8"/>
  <c r="AO8"/>
  <c r="AM8"/>
  <c r="AP8"/>
  <c r="AE8"/>
  <c r="AJ8"/>
  <c r="AH8"/>
  <c r="AF8"/>
  <c r="AI8"/>
  <c r="X8"/>
  <c r="AC8"/>
  <c r="AA8"/>
  <c r="Y8"/>
  <c r="AB8"/>
  <c r="Q8"/>
  <c r="V8"/>
  <c r="T8"/>
  <c r="R8"/>
  <c r="U8"/>
  <c r="J8"/>
  <c r="O8"/>
  <c r="M8"/>
  <c r="K8"/>
  <c r="N8"/>
  <c r="C8"/>
  <c r="H8"/>
  <c r="F8"/>
  <c r="D8"/>
  <c r="G8"/>
  <c r="AL7"/>
  <c r="AQ7"/>
  <c r="AO7"/>
  <c r="AM7"/>
  <c r="AP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Q37"/>
  <c r="AQ38"/>
  <c r="AO4"/>
  <c r="AO37"/>
  <c r="AO38"/>
  <c r="AM4"/>
  <c r="AP4"/>
  <c r="AP37"/>
  <c r="AP38"/>
  <c r="AE4"/>
  <c r="AJ4"/>
  <c r="AJ37"/>
  <c r="AJ38"/>
  <c r="AH4"/>
  <c r="AF4"/>
  <c r="AI4"/>
  <c r="X4"/>
  <c r="AC4"/>
  <c r="AC37"/>
  <c r="AC38"/>
  <c r="AA4"/>
  <c r="AA37"/>
  <c r="AA38"/>
  <c r="Y4"/>
  <c r="AB4"/>
  <c r="AB37"/>
  <c r="AB38"/>
  <c r="Q4"/>
  <c r="V4"/>
  <c r="V37"/>
  <c r="V38"/>
  <c r="T4"/>
  <c r="T37"/>
  <c r="T38"/>
  <c r="R4"/>
  <c r="U4"/>
  <c r="U37"/>
  <c r="U38"/>
  <c r="J4"/>
  <c r="O4"/>
  <c r="O37"/>
  <c r="O38"/>
  <c r="M4"/>
  <c r="M37"/>
  <c r="M38"/>
  <c r="K4"/>
  <c r="N4"/>
  <c r="N37"/>
  <c r="N38"/>
  <c r="D4"/>
  <c r="C4"/>
  <c r="G4"/>
  <c r="G37"/>
  <c r="G38"/>
  <c r="AD1"/>
  <c r="P1"/>
  <c r="AL35" i="82"/>
  <c r="AP35"/>
  <c r="AE35"/>
  <c r="AI35"/>
  <c r="X35"/>
  <c r="AB35"/>
  <c r="Q35"/>
  <c r="U35"/>
  <c r="J35"/>
  <c r="N35"/>
  <c r="D35"/>
  <c r="C35"/>
  <c r="G35"/>
  <c r="AL34"/>
  <c r="AP34"/>
  <c r="AE34"/>
  <c r="AI34"/>
  <c r="X34"/>
  <c r="AB34"/>
  <c r="Q34"/>
  <c r="U34"/>
  <c r="J34"/>
  <c r="N34"/>
  <c r="D34"/>
  <c r="C34"/>
  <c r="G34"/>
  <c r="AL33"/>
  <c r="AP33"/>
  <c r="AE33"/>
  <c r="AI33"/>
  <c r="X33"/>
  <c r="AB33"/>
  <c r="Q33"/>
  <c r="U33"/>
  <c r="J33"/>
  <c r="N33"/>
  <c r="D33"/>
  <c r="C33"/>
  <c r="G33"/>
  <c r="AL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AO22"/>
  <c r="AM22"/>
  <c r="AP22"/>
  <c r="AE22"/>
  <c r="AJ22"/>
  <c r="AH22"/>
  <c r="AF22"/>
  <c r="AI22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AO20"/>
  <c r="AM20"/>
  <c r="AP20"/>
  <c r="AE20"/>
  <c r="AJ20"/>
  <c r="AH20"/>
  <c r="AF20"/>
  <c r="AI20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AO17"/>
  <c r="AM17"/>
  <c r="AP17"/>
  <c r="AE17"/>
  <c r="AJ17"/>
  <c r="AH17"/>
  <c r="AF17"/>
  <c r="AI17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X16"/>
  <c r="AC16"/>
  <c r="Q16"/>
  <c r="V16"/>
  <c r="J16"/>
  <c r="O16"/>
  <c r="D16"/>
  <c r="C16"/>
  <c r="H16"/>
  <c r="AL15"/>
  <c r="AQ15"/>
  <c r="AE15"/>
  <c r="AJ15"/>
  <c r="X15"/>
  <c r="AC15"/>
  <c r="Q15"/>
  <c r="V15"/>
  <c r="J15"/>
  <c r="O15"/>
  <c r="D15"/>
  <c r="C15"/>
  <c r="H15"/>
  <c r="AL14"/>
  <c r="AQ14"/>
  <c r="AE14"/>
  <c r="AJ14"/>
  <c r="X14"/>
  <c r="AC14"/>
  <c r="Q14"/>
  <c r="V14"/>
  <c r="J14"/>
  <c r="O14"/>
  <c r="D14"/>
  <c r="C14"/>
  <c r="H14"/>
  <c r="AL13"/>
  <c r="AQ13"/>
  <c r="AE13"/>
  <c r="AJ13"/>
  <c r="X13"/>
  <c r="AC13"/>
  <c r="Q13"/>
  <c r="V13"/>
  <c r="J13"/>
  <c r="O13"/>
  <c r="D13"/>
  <c r="C13"/>
  <c r="H13"/>
  <c r="AL12"/>
  <c r="AQ12"/>
  <c r="AE12"/>
  <c r="AJ12"/>
  <c r="X12"/>
  <c r="AC12"/>
  <c r="Q12"/>
  <c r="V12"/>
  <c r="J12"/>
  <c r="O12"/>
  <c r="D12"/>
  <c r="C12"/>
  <c r="H12"/>
  <c r="AL11"/>
  <c r="AQ11"/>
  <c r="AE11"/>
  <c r="AJ11"/>
  <c r="X11"/>
  <c r="AC11"/>
  <c r="Q11"/>
  <c r="V11"/>
  <c r="J11"/>
  <c r="O11"/>
  <c r="D11"/>
  <c r="C11"/>
  <c r="H11"/>
  <c r="AL10"/>
  <c r="AQ10"/>
  <c r="AE10"/>
  <c r="AJ10"/>
  <c r="X10"/>
  <c r="AC10"/>
  <c r="Q10"/>
  <c r="V10"/>
  <c r="J10"/>
  <c r="O10"/>
  <c r="D10"/>
  <c r="C10"/>
  <c r="H10"/>
  <c r="AL9"/>
  <c r="AQ9"/>
  <c r="AE9"/>
  <c r="AJ9"/>
  <c r="X9"/>
  <c r="AC9"/>
  <c r="Q9"/>
  <c r="V9"/>
  <c r="J9"/>
  <c r="O9"/>
  <c r="D9"/>
  <c r="C9"/>
  <c r="H9"/>
  <c r="AL8"/>
  <c r="AQ8"/>
  <c r="AE8"/>
  <c r="AJ8"/>
  <c r="X8"/>
  <c r="AC8"/>
  <c r="Q8"/>
  <c r="V8"/>
  <c r="J8"/>
  <c r="O8"/>
  <c r="D8"/>
  <c r="C8"/>
  <c r="H8"/>
  <c r="AL7"/>
  <c r="AQ7"/>
  <c r="AE7"/>
  <c r="AJ7"/>
  <c r="X7"/>
  <c r="AC7"/>
  <c r="Q7"/>
  <c r="V7"/>
  <c r="J7"/>
  <c r="O7"/>
  <c r="D7"/>
  <c r="C7"/>
  <c r="H7"/>
  <c r="AL6"/>
  <c r="AQ6"/>
  <c r="AE6"/>
  <c r="AJ6"/>
  <c r="X6"/>
  <c r="AC6"/>
  <c r="Q6"/>
  <c r="V6"/>
  <c r="J6"/>
  <c r="O6"/>
  <c r="D6"/>
  <c r="C6"/>
  <c r="H6"/>
  <c r="AL5"/>
  <c r="AQ5"/>
  <c r="AE5"/>
  <c r="AJ5"/>
  <c r="X5"/>
  <c r="AC5"/>
  <c r="Q5"/>
  <c r="V5"/>
  <c r="J5"/>
  <c r="O5"/>
  <c r="D5"/>
  <c r="C5"/>
  <c r="H5"/>
  <c r="AL4"/>
  <c r="AQ4"/>
  <c r="AE4"/>
  <c r="AJ4"/>
  <c r="X4"/>
  <c r="AC4"/>
  <c r="Q4"/>
  <c r="V4"/>
  <c r="J4"/>
  <c r="O4"/>
  <c r="D4"/>
  <c r="C4"/>
  <c r="H4"/>
  <c r="AD1"/>
  <c r="P1"/>
  <c r="AL4" i="81"/>
  <c r="AQ4"/>
  <c r="AL5"/>
  <c r="AQ5"/>
  <c r="AL6"/>
  <c r="AQ6"/>
  <c r="AL7"/>
  <c r="AQ7"/>
  <c r="AL8"/>
  <c r="AQ8"/>
  <c r="AL9"/>
  <c r="AQ9"/>
  <c r="AL10"/>
  <c r="AQ10"/>
  <c r="AL11"/>
  <c r="AQ11"/>
  <c r="AL12"/>
  <c r="AQ12"/>
  <c r="AL13"/>
  <c r="AQ13"/>
  <c r="AL14"/>
  <c r="AQ14"/>
  <c r="AL15"/>
  <c r="AQ15"/>
  <c r="AL16"/>
  <c r="AQ16"/>
  <c r="AL17"/>
  <c r="AQ17"/>
  <c r="AL18"/>
  <c r="AQ18"/>
  <c r="AL19"/>
  <c r="AQ19"/>
  <c r="AL20"/>
  <c r="AQ20"/>
  <c r="AL21"/>
  <c r="AQ21"/>
  <c r="AL22"/>
  <c r="AQ22"/>
  <c r="AL23"/>
  <c r="AQ23"/>
  <c r="AL24"/>
  <c r="AQ24"/>
  <c r="AL25"/>
  <c r="AQ25"/>
  <c r="AL26"/>
  <c r="AQ26"/>
  <c r="AL27"/>
  <c r="AQ27"/>
  <c r="AL28"/>
  <c r="AQ28"/>
  <c r="AL29"/>
  <c r="AQ29"/>
  <c r="AL30"/>
  <c r="AQ30"/>
  <c r="AL31"/>
  <c r="AQ31"/>
  <c r="AL32"/>
  <c r="AQ32"/>
  <c r="AL33"/>
  <c r="AQ33"/>
  <c r="AL34"/>
  <c r="AQ34"/>
  <c r="AL35"/>
  <c r="AQ35"/>
  <c r="AQ37"/>
  <c r="AQ38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7"/>
  <c r="AP38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7"/>
  <c r="AO38"/>
  <c r="AN4"/>
  <c r="AN5"/>
  <c r="AN6"/>
  <c r="AN7"/>
  <c r="AN8"/>
  <c r="AN9"/>
  <c r="AN10"/>
  <c r="AN11"/>
  <c r="AN12"/>
  <c r="AN13"/>
  <c r="J15" i="4"/>
  <c r="AN14" i="81"/>
  <c r="AN15"/>
  <c r="AN16"/>
  <c r="J18" i="4"/>
  <c r="AN17" i="81"/>
  <c r="AN18"/>
  <c r="AN19"/>
  <c r="J21" i="4"/>
  <c r="AN20" i="81"/>
  <c r="AN21"/>
  <c r="AN22"/>
  <c r="AN23"/>
  <c r="AN24"/>
  <c r="AN25"/>
  <c r="AN26"/>
  <c r="AN27"/>
  <c r="AN28"/>
  <c r="AN29"/>
  <c r="AN30"/>
  <c r="AN31"/>
  <c r="AN32"/>
  <c r="AN33"/>
  <c r="AN34"/>
  <c r="AN35"/>
  <c r="AN37"/>
  <c r="AN38"/>
  <c r="AE4"/>
  <c r="AJ4"/>
  <c r="AE5"/>
  <c r="AJ5"/>
  <c r="AE6"/>
  <c r="AJ6"/>
  <c r="AE7"/>
  <c r="AJ7"/>
  <c r="AE8"/>
  <c r="AJ8"/>
  <c r="AE9"/>
  <c r="AJ9"/>
  <c r="AE10"/>
  <c r="AJ10"/>
  <c r="AE11"/>
  <c r="AJ11"/>
  <c r="AE12"/>
  <c r="AJ12"/>
  <c r="AE13"/>
  <c r="AJ13"/>
  <c r="AE14"/>
  <c r="AJ14"/>
  <c r="AE15"/>
  <c r="AJ15"/>
  <c r="AE16"/>
  <c r="AJ16"/>
  <c r="AE17"/>
  <c r="AJ17"/>
  <c r="AE18"/>
  <c r="AJ18"/>
  <c r="AE19"/>
  <c r="AJ19"/>
  <c r="AE20"/>
  <c r="AJ20"/>
  <c r="AE21"/>
  <c r="AJ21"/>
  <c r="AE22"/>
  <c r="AJ22"/>
  <c r="AE23"/>
  <c r="AJ23"/>
  <c r="AE24"/>
  <c r="AJ24"/>
  <c r="AE25"/>
  <c r="AJ25"/>
  <c r="AE26"/>
  <c r="AJ26"/>
  <c r="AE27"/>
  <c r="AJ27"/>
  <c r="AE28"/>
  <c r="AJ28"/>
  <c r="AE29"/>
  <c r="AJ29"/>
  <c r="AE30"/>
  <c r="AJ30"/>
  <c r="AE31"/>
  <c r="AJ31"/>
  <c r="AE32"/>
  <c r="AJ32"/>
  <c r="AE33"/>
  <c r="AJ33"/>
  <c r="AE34"/>
  <c r="AJ34"/>
  <c r="AE35"/>
  <c r="AJ35"/>
  <c r="AJ37"/>
  <c r="AJ38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7"/>
  <c r="AI38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7"/>
  <c r="AH38"/>
  <c r="AG4"/>
  <c r="AG5"/>
  <c r="AG6"/>
  <c r="AG7"/>
  <c r="AG8"/>
  <c r="AG9"/>
  <c r="AG10"/>
  <c r="AG11"/>
  <c r="AG12"/>
  <c r="AG13"/>
  <c r="D15" i="4"/>
  <c r="AG14" i="81"/>
  <c r="AG15"/>
  <c r="AG16"/>
  <c r="D18" i="4"/>
  <c r="AG17" i="81"/>
  <c r="AG18"/>
  <c r="AG19"/>
  <c r="D21" i="4"/>
  <c r="AG20" i="81"/>
  <c r="AG21"/>
  <c r="AG22"/>
  <c r="AG23"/>
  <c r="AG24"/>
  <c r="AG25"/>
  <c r="AG26"/>
  <c r="AG27"/>
  <c r="AG28"/>
  <c r="AG29"/>
  <c r="AG30"/>
  <c r="AG31"/>
  <c r="AG32"/>
  <c r="AG33"/>
  <c r="AG34"/>
  <c r="AG35"/>
  <c r="AG37"/>
  <c r="AG38"/>
  <c r="X4"/>
  <c r="AC4"/>
  <c r="X5"/>
  <c r="AC5"/>
  <c r="X6"/>
  <c r="AC6"/>
  <c r="X7"/>
  <c r="AC7"/>
  <c r="X8"/>
  <c r="AC8"/>
  <c r="X9"/>
  <c r="AC9"/>
  <c r="X10"/>
  <c r="AC10"/>
  <c r="X11"/>
  <c r="AC11"/>
  <c r="X12"/>
  <c r="AC12"/>
  <c r="X13"/>
  <c r="AC13"/>
  <c r="X14"/>
  <c r="AC14"/>
  <c r="X15"/>
  <c r="AC15"/>
  <c r="X16"/>
  <c r="AC16"/>
  <c r="X17"/>
  <c r="AC17"/>
  <c r="X18"/>
  <c r="AC18"/>
  <c r="X19"/>
  <c r="AC19"/>
  <c r="X20"/>
  <c r="AC20"/>
  <c r="X21"/>
  <c r="AC21"/>
  <c r="X22"/>
  <c r="AC22"/>
  <c r="X23"/>
  <c r="AC23"/>
  <c r="X24"/>
  <c r="AC24"/>
  <c r="X25"/>
  <c r="AC25"/>
  <c r="X26"/>
  <c r="AC26"/>
  <c r="X27"/>
  <c r="AC27"/>
  <c r="X28"/>
  <c r="AC28"/>
  <c r="X29"/>
  <c r="AC29"/>
  <c r="X30"/>
  <c r="AC30"/>
  <c r="X31"/>
  <c r="AC31"/>
  <c r="X32"/>
  <c r="AC32"/>
  <c r="X33"/>
  <c r="AC33"/>
  <c r="X34"/>
  <c r="AC34"/>
  <c r="X35"/>
  <c r="AC35"/>
  <c r="AC37"/>
  <c r="AC38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7"/>
  <c r="AB38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7"/>
  <c r="AA38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7"/>
  <c r="Z38"/>
  <c r="Q4"/>
  <c r="V4"/>
  <c r="Q5"/>
  <c r="V5"/>
  <c r="Q6"/>
  <c r="V6"/>
  <c r="Q7"/>
  <c r="V7"/>
  <c r="Q8"/>
  <c r="V8"/>
  <c r="Q9"/>
  <c r="V9"/>
  <c r="Q10"/>
  <c r="V10"/>
  <c r="Q11"/>
  <c r="V11"/>
  <c r="Q12"/>
  <c r="V12"/>
  <c r="Q13"/>
  <c r="V13"/>
  <c r="Q14"/>
  <c r="V14"/>
  <c r="Q15"/>
  <c r="V15"/>
  <c r="Q16"/>
  <c r="V16"/>
  <c r="Q17"/>
  <c r="V17"/>
  <c r="Q18"/>
  <c r="V18"/>
  <c r="Q19"/>
  <c r="V19"/>
  <c r="Q20"/>
  <c r="V20"/>
  <c r="Q21"/>
  <c r="V21"/>
  <c r="Q22"/>
  <c r="V22"/>
  <c r="Q23"/>
  <c r="V23"/>
  <c r="Q24"/>
  <c r="V24"/>
  <c r="Q25"/>
  <c r="V25"/>
  <c r="Q26"/>
  <c r="V26"/>
  <c r="Q27"/>
  <c r="V27"/>
  <c r="Q28"/>
  <c r="V28"/>
  <c r="Q29"/>
  <c r="V29"/>
  <c r="Q30"/>
  <c r="V30"/>
  <c r="Q31"/>
  <c r="V31"/>
  <c r="Q32"/>
  <c r="V32"/>
  <c r="Q33"/>
  <c r="V33"/>
  <c r="Q34"/>
  <c r="V34"/>
  <c r="Q35"/>
  <c r="V35"/>
  <c r="V37"/>
  <c r="V38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7"/>
  <c r="U38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7"/>
  <c r="T38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7"/>
  <c r="S38"/>
  <c r="C4"/>
  <c r="F4" s="1"/>
  <c r="C5"/>
  <c r="G5" s="1"/>
  <c r="C6"/>
  <c r="E6" s="1"/>
  <c r="C7"/>
  <c r="E7" s="1"/>
  <c r="C8"/>
  <c r="E8" s="1"/>
  <c r="C9"/>
  <c r="E9" s="1"/>
  <c r="C10"/>
  <c r="E10" s="1"/>
  <c r="C11"/>
  <c r="E11" s="1"/>
  <c r="C12"/>
  <c r="H12" s="1"/>
  <c r="C13"/>
  <c r="E13" s="1"/>
  <c r="C14"/>
  <c r="E14" s="1"/>
  <c r="C15"/>
  <c r="E15"/>
  <c r="C16"/>
  <c r="E16"/>
  <c r="C17"/>
  <c r="E17"/>
  <c r="C18"/>
  <c r="G18" s="1"/>
  <c r="C19"/>
  <c r="G19" s="1"/>
  <c r="C20"/>
  <c r="H20" s="1"/>
  <c r="C21"/>
  <c r="E21" s="1"/>
  <c r="C22"/>
  <c r="E22"/>
  <c r="C23"/>
  <c r="E23" s="1"/>
  <c r="C24"/>
  <c r="E24" s="1"/>
  <c r="C25"/>
  <c r="E25" s="1"/>
  <c r="C26"/>
  <c r="E26" s="1"/>
  <c r="C27"/>
  <c r="E27" s="1"/>
  <c r="C28"/>
  <c r="E28" s="1"/>
  <c r="C29"/>
  <c r="E29" s="1"/>
  <c r="C30"/>
  <c r="E30" s="1"/>
  <c r="C31"/>
  <c r="E31" s="1"/>
  <c r="C32"/>
  <c r="E32" s="1"/>
  <c r="C33"/>
  <c r="E33"/>
  <c r="C34"/>
  <c r="E34"/>
  <c r="C35"/>
  <c r="E35" s="1"/>
  <c r="AN6" i="86"/>
  <c r="AP10"/>
  <c r="AN12"/>
  <c r="AQ23"/>
  <c r="AQ27"/>
  <c r="AP31"/>
  <c r="AN34"/>
  <c r="AG8"/>
  <c r="AG10"/>
  <c r="AH14"/>
  <c r="AJ30"/>
  <c r="AA6"/>
  <c r="Z10"/>
  <c r="AB12"/>
  <c r="AC16"/>
  <c r="AC20"/>
  <c r="Z30"/>
  <c r="AA34"/>
  <c r="P5"/>
  <c r="Q5"/>
  <c r="P6"/>
  <c r="Q6"/>
  <c r="T6"/>
  <c r="P7"/>
  <c r="P8"/>
  <c r="Q8"/>
  <c r="R8"/>
  <c r="P9"/>
  <c r="P10"/>
  <c r="P11"/>
  <c r="P12"/>
  <c r="Q12"/>
  <c r="P13"/>
  <c r="P14"/>
  <c r="Q14"/>
  <c r="P15"/>
  <c r="P16"/>
  <c r="Q16"/>
  <c r="P17"/>
  <c r="Q17"/>
  <c r="P18"/>
  <c r="Q18"/>
  <c r="P19"/>
  <c r="P20"/>
  <c r="Q20"/>
  <c r="P21"/>
  <c r="Q21"/>
  <c r="P22"/>
  <c r="Q22"/>
  <c r="V22"/>
  <c r="P23"/>
  <c r="Q23"/>
  <c r="P24"/>
  <c r="Q24"/>
  <c r="V24"/>
  <c r="P25"/>
  <c r="P26"/>
  <c r="Q26"/>
  <c r="P27"/>
  <c r="P28"/>
  <c r="Q28"/>
  <c r="P29"/>
  <c r="P30"/>
  <c r="Q30"/>
  <c r="R30"/>
  <c r="P31"/>
  <c r="Q31"/>
  <c r="V31"/>
  <c r="P32"/>
  <c r="Q32"/>
  <c r="S32"/>
  <c r="P33"/>
  <c r="P34"/>
  <c r="Q34"/>
  <c r="P35"/>
  <c r="L20"/>
  <c r="N34"/>
  <c r="C6"/>
  <c r="G6"/>
  <c r="C7"/>
  <c r="F7" s="1"/>
  <c r="C11"/>
  <c r="F11" s="1"/>
  <c r="C12"/>
  <c r="H12" s="1"/>
  <c r="C14"/>
  <c r="E14" s="1"/>
  <c r="C15"/>
  <c r="C16"/>
  <c r="C19"/>
  <c r="H19" s="1"/>
  <c r="C22"/>
  <c r="C23"/>
  <c r="C25"/>
  <c r="C26"/>
  <c r="C29"/>
  <c r="E29" s="1"/>
  <c r="C30"/>
  <c r="H30" s="1"/>
  <c r="C31"/>
  <c r="G31" s="1"/>
  <c r="C32"/>
  <c r="E32" s="1"/>
  <c r="C33"/>
  <c r="C34"/>
  <c r="B4"/>
  <c r="C4" s="1"/>
  <c r="D4" i="81"/>
  <c r="J4"/>
  <c r="O4"/>
  <c r="J5"/>
  <c r="O5" s="1"/>
  <c r="J6"/>
  <c r="O6" s="1"/>
  <c r="J7"/>
  <c r="O7" s="1"/>
  <c r="J8"/>
  <c r="O8" s="1"/>
  <c r="J9"/>
  <c r="O9" s="1"/>
  <c r="J10"/>
  <c r="O10" s="1"/>
  <c r="J11"/>
  <c r="O11" s="1"/>
  <c r="J12"/>
  <c r="O12" s="1"/>
  <c r="J13"/>
  <c r="O13" s="1"/>
  <c r="J14"/>
  <c r="O14" s="1"/>
  <c r="J15"/>
  <c r="O15"/>
  <c r="J16"/>
  <c r="O16"/>
  <c r="J17"/>
  <c r="O17"/>
  <c r="J18"/>
  <c r="O18" s="1"/>
  <c r="J19"/>
  <c r="O19" s="1"/>
  <c r="J20"/>
  <c r="O20"/>
  <c r="J21"/>
  <c r="O21" s="1"/>
  <c r="J22"/>
  <c r="O22"/>
  <c r="J23"/>
  <c r="O23" s="1"/>
  <c r="J24"/>
  <c r="O24" s="1"/>
  <c r="J25"/>
  <c r="O25" s="1"/>
  <c r="J26"/>
  <c r="O26" s="1"/>
  <c r="J27"/>
  <c r="O27" s="1"/>
  <c r="J28"/>
  <c r="O28" s="1"/>
  <c r="J29"/>
  <c r="O29" s="1"/>
  <c r="J30"/>
  <c r="O30" s="1"/>
  <c r="J31"/>
  <c r="O31" s="1"/>
  <c r="J32"/>
  <c r="O32" s="1"/>
  <c r="J33"/>
  <c r="O33" s="1"/>
  <c r="J34"/>
  <c r="O34"/>
  <c r="J35"/>
  <c r="O35" s="1"/>
  <c r="N4"/>
  <c r="N11"/>
  <c r="N12"/>
  <c r="N13"/>
  <c r="N15"/>
  <c r="N16"/>
  <c r="N17"/>
  <c r="N20"/>
  <c r="N22"/>
  <c r="N34"/>
  <c r="M4"/>
  <c r="M13"/>
  <c r="M15"/>
  <c r="M16"/>
  <c r="M17"/>
  <c r="M18"/>
  <c r="M20"/>
  <c r="M22"/>
  <c r="M34"/>
  <c r="L4"/>
  <c r="L15"/>
  <c r="L16"/>
  <c r="L17"/>
  <c r="L20"/>
  <c r="L22"/>
  <c r="L34"/>
  <c r="AM6"/>
  <c r="AM7"/>
  <c r="AM8"/>
  <c r="AM12"/>
  <c r="AM13"/>
  <c r="AM20"/>
  <c r="AM21"/>
  <c r="AM22"/>
  <c r="AM23"/>
  <c r="AM24"/>
  <c r="AM26"/>
  <c r="AM27"/>
  <c r="AM28"/>
  <c r="AM30"/>
  <c r="AM31"/>
  <c r="AM32"/>
  <c r="AM33"/>
  <c r="AM34"/>
  <c r="AF30"/>
  <c r="AF31"/>
  <c r="AF32"/>
  <c r="AF33"/>
  <c r="AF34"/>
  <c r="AF35"/>
  <c r="Y6"/>
  <c r="Y7"/>
  <c r="Y8"/>
  <c r="Y12"/>
  <c r="Y13"/>
  <c r="Y20"/>
  <c r="Y21"/>
  <c r="Y22"/>
  <c r="Y23"/>
  <c r="Y24"/>
  <c r="Y26"/>
  <c r="Y27"/>
  <c r="Y28"/>
  <c r="Y30"/>
  <c r="Y31"/>
  <c r="Y32"/>
  <c r="Y33"/>
  <c r="Y34"/>
  <c r="R30"/>
  <c r="R31"/>
  <c r="R32"/>
  <c r="R33"/>
  <c r="R34"/>
  <c r="R35"/>
  <c r="K12"/>
  <c r="K13"/>
  <c r="K20"/>
  <c r="K22"/>
  <c r="K33"/>
  <c r="K3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F38" i="4"/>
  <c r="L38"/>
  <c r="P1" i="86"/>
  <c r="AN14"/>
  <c r="AH26"/>
  <c r="AH9"/>
  <c r="Z11"/>
  <c r="Q35"/>
  <c r="U35"/>
  <c r="Q27"/>
  <c r="V27"/>
  <c r="Q15"/>
  <c r="T15"/>
  <c r="Q10"/>
  <c r="S10"/>
  <c r="Q7"/>
  <c r="S7"/>
  <c r="N15"/>
  <c r="C17"/>
  <c r="F17"/>
  <c r="C21"/>
  <c r="C27"/>
  <c r="G27" s="1"/>
  <c r="Q33"/>
  <c r="V33"/>
  <c r="AG31"/>
  <c r="Q29"/>
  <c r="V29"/>
  <c r="AH27"/>
  <c r="Q25"/>
  <c r="R25"/>
  <c r="AH23"/>
  <c r="AQ21"/>
  <c r="AB21"/>
  <c r="AJ19"/>
  <c r="Q19"/>
  <c r="S19"/>
  <c r="C18"/>
  <c r="N17"/>
  <c r="Z15"/>
  <c r="AI13"/>
  <c r="Q13"/>
  <c r="S13"/>
  <c r="C13"/>
  <c r="G13" s="1"/>
  <c r="Q11"/>
  <c r="S11"/>
  <c r="AN9"/>
  <c r="Q9"/>
  <c r="U9"/>
  <c r="AN7"/>
  <c r="AB7"/>
  <c r="AN5"/>
  <c r="Z5"/>
  <c r="AD1"/>
  <c r="P1" i="81"/>
  <c r="AD1"/>
  <c r="AM29"/>
  <c r="AM25"/>
  <c r="AM15"/>
  <c r="AM16"/>
  <c r="AM17"/>
  <c r="AM18"/>
  <c r="AM19"/>
  <c r="AM14"/>
  <c r="AM10"/>
  <c r="AM11"/>
  <c r="AF29"/>
  <c r="AF25"/>
  <c r="AF17"/>
  <c r="AF18"/>
  <c r="AF19"/>
  <c r="AF16"/>
  <c r="AF15"/>
  <c r="AF14"/>
  <c r="AF10"/>
  <c r="AF11"/>
  <c r="AM9"/>
  <c r="AF9"/>
  <c r="Y29"/>
  <c r="Y25"/>
  <c r="Y17"/>
  <c r="Y18"/>
  <c r="Y19"/>
  <c r="Y16"/>
  <c r="Y15"/>
  <c r="Y14"/>
  <c r="Y10"/>
  <c r="Y11"/>
  <c r="Y9"/>
  <c r="K25"/>
  <c r="K17"/>
  <c r="K18"/>
  <c r="K19"/>
  <c r="K16"/>
  <c r="K15"/>
  <c r="K14"/>
  <c r="K11"/>
  <c r="R29"/>
  <c r="R25"/>
  <c r="R17"/>
  <c r="R18"/>
  <c r="R19"/>
  <c r="R16"/>
  <c r="R15"/>
  <c r="R14"/>
  <c r="R10"/>
  <c r="R11"/>
  <c r="R9"/>
  <c r="AM35"/>
  <c r="AF28"/>
  <c r="AF27"/>
  <c r="AF26"/>
  <c r="AF24"/>
  <c r="AF23"/>
  <c r="AF22"/>
  <c r="AF21"/>
  <c r="AF20"/>
  <c r="AF13"/>
  <c r="AF12"/>
  <c r="AF8"/>
  <c r="AF7"/>
  <c r="AF6"/>
  <c r="AM5"/>
  <c r="AF5"/>
  <c r="AM4"/>
  <c r="AF4"/>
  <c r="Y35"/>
  <c r="R28"/>
  <c r="R27"/>
  <c r="R26"/>
  <c r="R24"/>
  <c r="R23"/>
  <c r="R22"/>
  <c r="R21"/>
  <c r="R20"/>
  <c r="R13"/>
  <c r="R12"/>
  <c r="R8"/>
  <c r="R7"/>
  <c r="R6"/>
  <c r="Y5"/>
  <c r="R5"/>
  <c r="Y4"/>
  <c r="R4"/>
  <c r="K35"/>
  <c r="K4"/>
  <c r="H17"/>
  <c r="H16"/>
  <c r="H14"/>
  <c r="F31"/>
  <c r="F33"/>
  <c r="F34"/>
  <c r="F32"/>
  <c r="F29"/>
  <c r="F28"/>
  <c r="F26"/>
  <c r="F25"/>
  <c r="F24"/>
  <c r="F23"/>
  <c r="F21"/>
  <c r="K45" i="4"/>
  <c r="D45"/>
  <c r="K44"/>
  <c r="F20" i="81"/>
  <c r="D44" i="4"/>
  <c r="K43"/>
  <c r="J43"/>
  <c r="E43"/>
  <c r="F39"/>
  <c r="G35" i="81"/>
  <c r="G34"/>
  <c r="G33"/>
  <c r="G32"/>
  <c r="G31"/>
  <c r="G29"/>
  <c r="G28"/>
  <c r="G26"/>
  <c r="G25"/>
  <c r="G24"/>
  <c r="G22"/>
  <c r="G21"/>
  <c r="H19"/>
  <c r="H18"/>
  <c r="F17"/>
  <c r="F16"/>
  <c r="H15"/>
  <c r="F15"/>
  <c r="F14"/>
  <c r="H13"/>
  <c r="F13"/>
  <c r="H10"/>
  <c r="F10"/>
  <c r="F9"/>
  <c r="H8"/>
  <c r="F8"/>
  <c r="H7"/>
  <c r="H34"/>
  <c r="H33"/>
  <c r="H32"/>
  <c r="H31"/>
  <c r="H29"/>
  <c r="H28"/>
  <c r="H26"/>
  <c r="H25"/>
  <c r="H24"/>
  <c r="H22"/>
  <c r="H21"/>
  <c r="G17"/>
  <c r="G15"/>
  <c r="G13"/>
  <c r="G11"/>
  <c r="G10"/>
  <c r="G9"/>
  <c r="G8"/>
  <c r="AH25" i="86"/>
  <c r="AH31"/>
  <c r="AA17"/>
  <c r="R19"/>
  <c r="V25"/>
  <c r="F30"/>
  <c r="AB5"/>
  <c r="Z7"/>
  <c r="S9"/>
  <c r="U11"/>
  <c r="E13"/>
  <c r="U13"/>
  <c r="AG13"/>
  <c r="AB15"/>
  <c r="AA7"/>
  <c r="R9"/>
  <c r="T11"/>
  <c r="T13"/>
  <c r="AA15"/>
  <c r="R33"/>
  <c r="Z21"/>
  <c r="E22"/>
  <c r="S25"/>
  <c r="AG27"/>
  <c r="AC5"/>
  <c r="V9"/>
  <c r="AJ13"/>
  <c r="V11"/>
  <c r="M43" i="4"/>
  <c r="M44"/>
  <c r="E44"/>
  <c r="M45"/>
  <c r="L39"/>
  <c r="U33" i="86"/>
  <c r="D43" i="4"/>
  <c r="F43"/>
  <c r="L43"/>
  <c r="L44"/>
  <c r="J44"/>
  <c r="F44"/>
  <c r="L45"/>
  <c r="J45"/>
  <c r="F45"/>
  <c r="AB17" i="86"/>
  <c r="G18"/>
  <c r="AB26"/>
  <c r="AI31"/>
  <c r="U19"/>
  <c r="AI23"/>
  <c r="AJ32"/>
  <c r="F22" i="81"/>
  <c r="E45" i="4"/>
  <c r="G14" i="81"/>
  <c r="G16"/>
  <c r="H9"/>
  <c r="G16" i="86"/>
  <c r="L16"/>
  <c r="M15"/>
  <c r="E21"/>
  <c r="V12"/>
  <c r="Z8"/>
  <c r="AB28"/>
  <c r="R7"/>
  <c r="R22"/>
  <c r="R35"/>
  <c r="S35"/>
  <c r="AH18"/>
  <c r="N20"/>
  <c r="T8"/>
  <c r="V8"/>
  <c r="T30"/>
  <c r="V32"/>
  <c r="AH8"/>
  <c r="S6"/>
  <c r="R6"/>
  <c r="R10"/>
  <c r="S15"/>
  <c r="V15"/>
  <c r="R15"/>
  <c r="T24"/>
  <c r="T27"/>
  <c r="Z6"/>
  <c r="AA11"/>
  <c r="AH10"/>
  <c r="AP6"/>
  <c r="AA10"/>
  <c r="Z12"/>
  <c r="AA20"/>
  <c r="AJ14"/>
  <c r="AH22"/>
  <c r="AI22"/>
  <c r="AO10"/>
  <c r="F4" i="83"/>
  <c r="F37"/>
  <c r="F38"/>
  <c r="H4"/>
  <c r="H37"/>
  <c r="H38"/>
  <c r="H4" i="84"/>
  <c r="H37"/>
  <c r="H38"/>
  <c r="F4"/>
  <c r="F37"/>
  <c r="F38"/>
  <c r="H4" i="85"/>
  <c r="F4"/>
  <c r="H8"/>
  <c r="F8"/>
  <c r="O8"/>
  <c r="M8"/>
  <c r="K8"/>
  <c r="AC8"/>
  <c r="AA8"/>
  <c r="Y8"/>
  <c r="AQ8"/>
  <c r="AO8"/>
  <c r="AM8"/>
  <c r="V9"/>
  <c r="T9"/>
  <c r="R9"/>
  <c r="AJ9"/>
  <c r="AH9"/>
  <c r="AF9"/>
  <c r="H10"/>
  <c r="F10"/>
  <c r="O10"/>
  <c r="M10"/>
  <c r="K10"/>
  <c r="AC10"/>
  <c r="AA10"/>
  <c r="Y10"/>
  <c r="AQ10"/>
  <c r="AO10"/>
  <c r="AM10"/>
  <c r="V11"/>
  <c r="T11"/>
  <c r="R11"/>
  <c r="AJ11"/>
  <c r="AH11"/>
  <c r="AF11"/>
  <c r="AI11"/>
  <c r="E8"/>
  <c r="N8"/>
  <c r="N9"/>
  <c r="N10"/>
  <c r="N11"/>
  <c r="N12"/>
  <c r="N13"/>
  <c r="N14"/>
  <c r="N15"/>
  <c r="N16"/>
  <c r="N17"/>
  <c r="N18"/>
  <c r="N19"/>
  <c r="N20"/>
  <c r="N21"/>
  <c r="N22"/>
  <c r="N23"/>
  <c r="N37"/>
  <c r="N38"/>
  <c r="AB8"/>
  <c r="AB9"/>
  <c r="AB10"/>
  <c r="AB11"/>
  <c r="AB12"/>
  <c r="AB13"/>
  <c r="AB14"/>
  <c r="AB15"/>
  <c r="AB16"/>
  <c r="AB17"/>
  <c r="AB18"/>
  <c r="AB19"/>
  <c r="AB20"/>
  <c r="AB21"/>
  <c r="AB22"/>
  <c r="AB23"/>
  <c r="AB37"/>
  <c r="AB38"/>
  <c r="AP8"/>
  <c r="U9"/>
  <c r="AI9"/>
  <c r="E10"/>
  <c r="AP10"/>
  <c r="U11"/>
  <c r="AQ7"/>
  <c r="AQ9"/>
  <c r="AQ22"/>
  <c r="AQ23"/>
  <c r="AQ24"/>
  <c r="AQ25"/>
  <c r="AQ26"/>
  <c r="AQ27"/>
  <c r="AQ28"/>
  <c r="AQ29"/>
  <c r="AQ30"/>
  <c r="AQ31"/>
  <c r="AQ32"/>
  <c r="AQ33"/>
  <c r="AQ34"/>
  <c r="AQ35"/>
  <c r="AQ37"/>
  <c r="AQ38"/>
  <c r="AO7"/>
  <c r="AO9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7"/>
  <c r="AO38"/>
  <c r="AM7"/>
  <c r="V8"/>
  <c r="V10"/>
  <c r="V22"/>
  <c r="V23"/>
  <c r="V24"/>
  <c r="V25"/>
  <c r="V26"/>
  <c r="V27"/>
  <c r="V28"/>
  <c r="V29"/>
  <c r="V30"/>
  <c r="V31"/>
  <c r="V32"/>
  <c r="V33"/>
  <c r="V34"/>
  <c r="V35"/>
  <c r="V37"/>
  <c r="V38"/>
  <c r="T8"/>
  <c r="T10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7"/>
  <c r="T38"/>
  <c r="R8"/>
  <c r="AJ8"/>
  <c r="AJ10"/>
  <c r="AJ22"/>
  <c r="AJ23"/>
  <c r="AJ24"/>
  <c r="AJ25"/>
  <c r="AJ26"/>
  <c r="AJ27"/>
  <c r="AJ28"/>
  <c r="AJ29"/>
  <c r="AJ30"/>
  <c r="AJ31"/>
  <c r="AJ32"/>
  <c r="AJ33"/>
  <c r="AJ34"/>
  <c r="AJ35"/>
  <c r="AJ37"/>
  <c r="AJ38"/>
  <c r="AH8"/>
  <c r="AH10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7"/>
  <c r="AH38"/>
  <c r="AF8"/>
  <c r="H9"/>
  <c r="H11"/>
  <c r="H23"/>
  <c r="H24"/>
  <c r="H25"/>
  <c r="H26"/>
  <c r="H27"/>
  <c r="H28"/>
  <c r="H29"/>
  <c r="H30"/>
  <c r="H31"/>
  <c r="H32"/>
  <c r="H33"/>
  <c r="H34"/>
  <c r="H35"/>
  <c r="H37"/>
  <c r="H38"/>
  <c r="F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8"/>
  <c r="O9"/>
  <c r="O11"/>
  <c r="O23"/>
  <c r="O24"/>
  <c r="O25"/>
  <c r="O26"/>
  <c r="O27"/>
  <c r="O28"/>
  <c r="O29"/>
  <c r="O30"/>
  <c r="O31"/>
  <c r="O32"/>
  <c r="O33"/>
  <c r="O34"/>
  <c r="O35"/>
  <c r="O37"/>
  <c r="O38"/>
  <c r="M9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7"/>
  <c r="M38"/>
  <c r="K9"/>
  <c r="AC9"/>
  <c r="AC11"/>
  <c r="AC22"/>
  <c r="AC23"/>
  <c r="AC24"/>
  <c r="AC25"/>
  <c r="AC26"/>
  <c r="AC27"/>
  <c r="AC28"/>
  <c r="AC29"/>
  <c r="AC30"/>
  <c r="AC31"/>
  <c r="AC32"/>
  <c r="AC33"/>
  <c r="AC34"/>
  <c r="AC35"/>
  <c r="AC37"/>
  <c r="AC38"/>
  <c r="AA9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7"/>
  <c r="AA38"/>
  <c r="Y9"/>
  <c r="AM9"/>
  <c r="R10"/>
  <c r="AF10"/>
  <c r="K11"/>
  <c r="Y11"/>
  <c r="E4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P7"/>
  <c r="AP9"/>
  <c r="AP11"/>
  <c r="AP12"/>
  <c r="AP13"/>
  <c r="AP14"/>
  <c r="AP15"/>
  <c r="AP16"/>
  <c r="AP17"/>
  <c r="AP18"/>
  <c r="AP19"/>
  <c r="AP20"/>
  <c r="AP21"/>
  <c r="AP22"/>
  <c r="AP37"/>
  <c r="AP38"/>
  <c r="G8"/>
  <c r="G10"/>
  <c r="G12"/>
  <c r="G13"/>
  <c r="G14"/>
  <c r="G15"/>
  <c r="G16"/>
  <c r="G17"/>
  <c r="G18"/>
  <c r="G19"/>
  <c r="G20"/>
  <c r="G21"/>
  <c r="G22"/>
  <c r="G37"/>
  <c r="G38"/>
  <c r="L8"/>
  <c r="U8"/>
  <c r="U10"/>
  <c r="U12"/>
  <c r="U13"/>
  <c r="U14"/>
  <c r="U15"/>
  <c r="U16"/>
  <c r="U17"/>
  <c r="U18"/>
  <c r="U19"/>
  <c r="U20"/>
  <c r="U21"/>
  <c r="U22"/>
  <c r="U23"/>
  <c r="U37"/>
  <c r="U38"/>
  <c r="Z8"/>
  <c r="AI8"/>
  <c r="AI10"/>
  <c r="AI12"/>
  <c r="AI13"/>
  <c r="AI14"/>
  <c r="AI15"/>
  <c r="AI16"/>
  <c r="AI17"/>
  <c r="AI18"/>
  <c r="AI19"/>
  <c r="AI20"/>
  <c r="AI21"/>
  <c r="AI22"/>
  <c r="AI23"/>
  <c r="AI37"/>
  <c r="AI38"/>
  <c r="AN8"/>
  <c r="E9"/>
  <c r="S9"/>
  <c r="AG9"/>
  <c r="L10"/>
  <c r="Z10"/>
  <c r="AN10"/>
  <c r="E11"/>
  <c r="S11"/>
  <c r="AG11"/>
  <c r="Y22"/>
  <c r="AM22"/>
  <c r="R23"/>
  <c r="AF23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G16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AF22"/>
  <c r="K23"/>
  <c r="Y23"/>
  <c r="AM11"/>
  <c r="K12"/>
  <c r="R12"/>
  <c r="Y12"/>
  <c r="AF12"/>
  <c r="AM12"/>
  <c r="K13"/>
  <c r="R13"/>
  <c r="Y13"/>
  <c r="AF13"/>
  <c r="AM13"/>
  <c r="K14"/>
  <c r="R14"/>
  <c r="Y14"/>
  <c r="AF14"/>
  <c r="AM14"/>
  <c r="K15"/>
  <c r="R15"/>
  <c r="Y15"/>
  <c r="AF15"/>
  <c r="AM15"/>
  <c r="K16"/>
  <c r="R16"/>
  <c r="Y16"/>
  <c r="AF16"/>
  <c r="AM16"/>
  <c r="K17"/>
  <c r="R17"/>
  <c r="Y17"/>
  <c r="AF17"/>
  <c r="AM17"/>
  <c r="K18"/>
  <c r="R18"/>
  <c r="Y18"/>
  <c r="AF18"/>
  <c r="AM18"/>
  <c r="K19"/>
  <c r="R19"/>
  <c r="Y19"/>
  <c r="AF19"/>
  <c r="AM19"/>
  <c r="K20"/>
  <c r="R20"/>
  <c r="Y20"/>
  <c r="AF20"/>
  <c r="AM20"/>
  <c r="K21"/>
  <c r="R21"/>
  <c r="Y21"/>
  <c r="AF21"/>
  <c r="AM21"/>
  <c r="K22"/>
  <c r="R22"/>
  <c r="Z22"/>
  <c r="AN22"/>
  <c r="E23"/>
  <c r="S23"/>
  <c r="AG23"/>
  <c r="AM23"/>
  <c r="K24"/>
  <c r="R24"/>
  <c r="Y24"/>
  <c r="AF24"/>
  <c r="AM24"/>
  <c r="K25"/>
  <c r="R25"/>
  <c r="Y25"/>
  <c r="AF25"/>
  <c r="AM25"/>
  <c r="K26"/>
  <c r="R26"/>
  <c r="Y26"/>
  <c r="AF26"/>
  <c r="AM26"/>
  <c r="K27"/>
  <c r="R27"/>
  <c r="Y27"/>
  <c r="AF27"/>
  <c r="AM27"/>
  <c r="K28"/>
  <c r="R28"/>
  <c r="Y28"/>
  <c r="AF28"/>
  <c r="AM28"/>
  <c r="K29"/>
  <c r="R29"/>
  <c r="Y29"/>
  <c r="AF29"/>
  <c r="AM29"/>
  <c r="K30"/>
  <c r="R30"/>
  <c r="Y30"/>
  <c r="AF30"/>
  <c r="AM30"/>
  <c r="K31"/>
  <c r="R31"/>
  <c r="Y31"/>
  <c r="AF31"/>
  <c r="AM31"/>
  <c r="K32"/>
  <c r="R32"/>
  <c r="Y32"/>
  <c r="AF32"/>
  <c r="AM32"/>
  <c r="K33"/>
  <c r="R33"/>
  <c r="Y33"/>
  <c r="AF33"/>
  <c r="AM33"/>
  <c r="K34"/>
  <c r="R34"/>
  <c r="Y34"/>
  <c r="AF34"/>
  <c r="AM34"/>
  <c r="K35"/>
  <c r="R35"/>
  <c r="Y35"/>
  <c r="AF35"/>
  <c r="AM35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F14" i="86"/>
  <c r="V20"/>
  <c r="T20"/>
  <c r="AA24"/>
  <c r="AC24"/>
  <c r="AI16"/>
  <c r="AN8"/>
  <c r="AP8"/>
  <c r="AI16" i="84"/>
  <c r="AI37"/>
  <c r="AI38"/>
  <c r="AG16"/>
  <c r="AO12" i="86"/>
  <c r="AN10"/>
  <c r="AJ26"/>
  <c r="AJ22"/>
  <c r="AG14"/>
  <c r="Z20"/>
  <c r="AC12"/>
  <c r="L34"/>
  <c r="M34"/>
  <c r="E27"/>
  <c r="AO6"/>
  <c r="AI10"/>
  <c r="Z34"/>
  <c r="AB16"/>
  <c r="Z16"/>
  <c r="AC6"/>
  <c r="R27"/>
  <c r="U24"/>
  <c r="T10"/>
  <c r="V6"/>
  <c r="AJ8"/>
  <c r="U32"/>
  <c r="R32"/>
  <c r="S30"/>
  <c r="S8"/>
  <c r="M20"/>
  <c r="G17"/>
  <c r="AI19"/>
  <c r="H13"/>
  <c r="AQ7"/>
  <c r="AG25"/>
  <c r="AG24"/>
  <c r="AJ33"/>
  <c r="AO7"/>
  <c r="AP5"/>
  <c r="E4" i="84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N7"/>
  <c r="E8"/>
  <c r="L8"/>
  <c r="S8"/>
  <c r="Z8"/>
  <c r="AG8"/>
  <c r="AN8"/>
  <c r="E9"/>
  <c r="L9"/>
  <c r="S9"/>
  <c r="Z9"/>
  <c r="AG9"/>
  <c r="AN9"/>
  <c r="E10"/>
  <c r="L10"/>
  <c r="S10"/>
  <c r="Z10"/>
  <c r="AG10"/>
  <c r="AN10"/>
  <c r="E11"/>
  <c r="L11"/>
  <c r="S11"/>
  <c r="Z11"/>
  <c r="AG11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H16"/>
  <c r="AH37"/>
  <c r="AH38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H33" i="86"/>
  <c r="E33"/>
  <c r="G33"/>
  <c r="F33"/>
  <c r="F31"/>
  <c r="G29"/>
  <c r="F25"/>
  <c r="E25"/>
  <c r="H25"/>
  <c r="G25"/>
  <c r="E23"/>
  <c r="H23"/>
  <c r="G23"/>
  <c r="F23"/>
  <c r="E15"/>
  <c r="H15"/>
  <c r="E11"/>
  <c r="V23"/>
  <c r="T23"/>
  <c r="U23"/>
  <c r="V21"/>
  <c r="S21"/>
  <c r="R21"/>
  <c r="T21"/>
  <c r="U21"/>
  <c r="V17"/>
  <c r="T17"/>
  <c r="R17"/>
  <c r="S17"/>
  <c r="U17"/>
  <c r="R5"/>
  <c r="S5"/>
  <c r="AA35"/>
  <c r="AB35"/>
  <c r="Z35"/>
  <c r="AA33"/>
  <c r="AB33"/>
  <c r="AC33"/>
  <c r="Z33"/>
  <c r="AA31"/>
  <c r="AC31"/>
  <c r="AA29"/>
  <c r="Z29"/>
  <c r="AB29"/>
  <c r="AC29"/>
  <c r="AA27"/>
  <c r="AC25"/>
  <c r="AA25"/>
  <c r="Z25"/>
  <c r="AB25"/>
  <c r="AC23"/>
  <c r="AA23"/>
  <c r="Z23"/>
  <c r="AB23"/>
  <c r="AA19"/>
  <c r="AC19"/>
  <c r="Z19"/>
  <c r="AB19"/>
  <c r="Z13"/>
  <c r="AB9"/>
  <c r="AA9"/>
  <c r="AG35"/>
  <c r="AI35"/>
  <c r="AJ35"/>
  <c r="AH35"/>
  <c r="AJ21"/>
  <c r="AG21"/>
  <c r="AH21"/>
  <c r="AI21"/>
  <c r="AH17"/>
  <c r="AG17"/>
  <c r="AI17"/>
  <c r="AJ17"/>
  <c r="AG15"/>
  <c r="AG11"/>
  <c r="AH7"/>
  <c r="AJ7"/>
  <c r="AI7"/>
  <c r="AG5"/>
  <c r="AJ5"/>
  <c r="AP29"/>
  <c r="AO29"/>
  <c r="AO11"/>
  <c r="AN11"/>
  <c r="AQ11"/>
  <c r="AI16" i="83"/>
  <c r="AI37"/>
  <c r="AI38"/>
  <c r="AG16"/>
  <c r="AC11" i="86"/>
  <c r="AB11"/>
  <c r="S27"/>
  <c r="U27"/>
  <c r="U15"/>
  <c r="AP14"/>
  <c r="T35"/>
  <c r="V35"/>
  <c r="G21"/>
  <c r="U25"/>
  <c r="AC17"/>
  <c r="AI27"/>
  <c r="AJ31"/>
  <c r="V13"/>
  <c r="AC7"/>
  <c r="AC15"/>
  <c r="AQ5"/>
  <c r="AG23"/>
  <c r="AG19"/>
  <c r="AH13"/>
  <c r="R13"/>
  <c r="F13"/>
  <c r="R11"/>
  <c r="AO9"/>
  <c r="T9"/>
  <c r="AO5"/>
  <c r="AA5"/>
  <c r="AP9"/>
  <c r="AP7"/>
  <c r="T25"/>
  <c r="AJ27"/>
  <c r="AJ23"/>
  <c r="E4" i="83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N7"/>
  <c r="E8"/>
  <c r="L8"/>
  <c r="S8"/>
  <c r="Z8"/>
  <c r="AG8"/>
  <c r="AN8"/>
  <c r="E9"/>
  <c r="L9"/>
  <c r="S9"/>
  <c r="Z9"/>
  <c r="AG9"/>
  <c r="AN9"/>
  <c r="E10"/>
  <c r="L10"/>
  <c r="S10"/>
  <c r="Z10"/>
  <c r="AG10"/>
  <c r="AN10"/>
  <c r="E11"/>
  <c r="L11"/>
  <c r="S11"/>
  <c r="Z11"/>
  <c r="AG11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H16"/>
  <c r="AH37"/>
  <c r="AH38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AI16" i="82"/>
  <c r="AG16"/>
  <c r="E4"/>
  <c r="G4"/>
  <c r="L4"/>
  <c r="N4"/>
  <c r="S4"/>
  <c r="U4"/>
  <c r="Z4"/>
  <c r="AB4"/>
  <c r="AG4"/>
  <c r="AI4"/>
  <c r="AN4"/>
  <c r="AP4"/>
  <c r="E5"/>
  <c r="G5"/>
  <c r="L5"/>
  <c r="N5"/>
  <c r="S5"/>
  <c r="U5"/>
  <c r="Z5"/>
  <c r="AB5"/>
  <c r="AG5"/>
  <c r="AI5"/>
  <c r="AN5"/>
  <c r="AP5"/>
  <c r="E6"/>
  <c r="G6"/>
  <c r="L6"/>
  <c r="N6"/>
  <c r="S6"/>
  <c r="U6"/>
  <c r="Z6"/>
  <c r="AB6"/>
  <c r="AG6"/>
  <c r="AI6"/>
  <c r="AN6"/>
  <c r="AP6"/>
  <c r="E7"/>
  <c r="G7"/>
  <c r="L7"/>
  <c r="N7"/>
  <c r="S7"/>
  <c r="U7"/>
  <c r="Z7"/>
  <c r="AB7"/>
  <c r="AG7"/>
  <c r="AI7"/>
  <c r="AN7"/>
  <c r="AP7"/>
  <c r="E8"/>
  <c r="G8"/>
  <c r="L8"/>
  <c r="N8"/>
  <c r="S8"/>
  <c r="U8"/>
  <c r="Z8"/>
  <c r="AB8"/>
  <c r="AG8"/>
  <c r="AI8"/>
  <c r="AN8"/>
  <c r="AP8"/>
  <c r="E9"/>
  <c r="G9"/>
  <c r="L9"/>
  <c r="N9"/>
  <c r="S9"/>
  <c r="U9"/>
  <c r="Z9"/>
  <c r="AB9"/>
  <c r="AG9"/>
  <c r="AI9"/>
  <c r="AN9"/>
  <c r="AP9"/>
  <c r="E10"/>
  <c r="G10"/>
  <c r="L10"/>
  <c r="N10"/>
  <c r="S10"/>
  <c r="U10"/>
  <c r="Z10"/>
  <c r="AB10"/>
  <c r="AG10"/>
  <c r="AI10"/>
  <c r="AN10"/>
  <c r="AP10"/>
  <c r="E11"/>
  <c r="G11"/>
  <c r="L11"/>
  <c r="N11"/>
  <c r="S11"/>
  <c r="U11"/>
  <c r="Z11"/>
  <c r="AB11"/>
  <c r="AG11"/>
  <c r="AI11"/>
  <c r="AN11"/>
  <c r="AP11"/>
  <c r="E12"/>
  <c r="G12"/>
  <c r="L12"/>
  <c r="N12"/>
  <c r="S12"/>
  <c r="U12"/>
  <c r="Z12"/>
  <c r="AB12"/>
  <c r="AG12"/>
  <c r="AI12"/>
  <c r="AN12"/>
  <c r="AP12"/>
  <c r="E13"/>
  <c r="G13"/>
  <c r="L13"/>
  <c r="N13"/>
  <c r="S13"/>
  <c r="U13"/>
  <c r="Z13"/>
  <c r="AB13"/>
  <c r="AG13"/>
  <c r="AI13"/>
  <c r="AN13"/>
  <c r="AP13"/>
  <c r="E14"/>
  <c r="G14"/>
  <c r="L14"/>
  <c r="N14"/>
  <c r="S14"/>
  <c r="U14"/>
  <c r="Z14"/>
  <c r="AB14"/>
  <c r="AG14"/>
  <c r="AI14"/>
  <c r="AN14"/>
  <c r="AP14"/>
  <c r="E15"/>
  <c r="G15"/>
  <c r="L15"/>
  <c r="N15"/>
  <c r="S15"/>
  <c r="U15"/>
  <c r="Z15"/>
  <c r="AB15"/>
  <c r="AG15"/>
  <c r="AI15"/>
  <c r="AN15"/>
  <c r="AP15"/>
  <c r="E16"/>
  <c r="G16"/>
  <c r="L16"/>
  <c r="N16"/>
  <c r="S16"/>
  <c r="U16"/>
  <c r="Z16"/>
  <c r="AB16"/>
  <c r="AH16"/>
  <c r="F4"/>
  <c r="K4"/>
  <c r="M4"/>
  <c r="R4"/>
  <c r="T4"/>
  <c r="Y4"/>
  <c r="AA4"/>
  <c r="AF4"/>
  <c r="AH4"/>
  <c r="AM4"/>
  <c r="AO4"/>
  <c r="F5"/>
  <c r="K5"/>
  <c r="M5"/>
  <c r="R5"/>
  <c r="T5"/>
  <c r="Y5"/>
  <c r="AA5"/>
  <c r="AF5"/>
  <c r="AH5"/>
  <c r="AM5"/>
  <c r="AO5"/>
  <c r="F6"/>
  <c r="K6"/>
  <c r="M6"/>
  <c r="R6"/>
  <c r="T6"/>
  <c r="Y6"/>
  <c r="AA6"/>
  <c r="AF6"/>
  <c r="AH6"/>
  <c r="AM6"/>
  <c r="AO6"/>
  <c r="F7"/>
  <c r="K7"/>
  <c r="M7"/>
  <c r="R7"/>
  <c r="T7"/>
  <c r="Y7"/>
  <c r="AA7"/>
  <c r="AF7"/>
  <c r="AH7"/>
  <c r="AM7"/>
  <c r="AO7"/>
  <c r="F8"/>
  <c r="K8"/>
  <c r="M8"/>
  <c r="R8"/>
  <c r="T8"/>
  <c r="Y8"/>
  <c r="AA8"/>
  <c r="AF8"/>
  <c r="AH8"/>
  <c r="AM8"/>
  <c r="AO8"/>
  <c r="F9"/>
  <c r="K9"/>
  <c r="M9"/>
  <c r="R9"/>
  <c r="T9"/>
  <c r="Y9"/>
  <c r="AA9"/>
  <c r="AF9"/>
  <c r="AH9"/>
  <c r="AM9"/>
  <c r="AO9"/>
  <c r="F10"/>
  <c r="K10"/>
  <c r="M10"/>
  <c r="R10"/>
  <c r="T10"/>
  <c r="Y10"/>
  <c r="AA10"/>
  <c r="AF10"/>
  <c r="AH10"/>
  <c r="AM10"/>
  <c r="AO10"/>
  <c r="F11"/>
  <c r="K11"/>
  <c r="M11"/>
  <c r="R11"/>
  <c r="T11"/>
  <c r="Y11"/>
  <c r="AA11"/>
  <c r="AF11"/>
  <c r="AH11"/>
  <c r="AM11"/>
  <c r="AO11"/>
  <c r="F12"/>
  <c r="K12"/>
  <c r="M12"/>
  <c r="R12"/>
  <c r="T12"/>
  <c r="Y12"/>
  <c r="AA12"/>
  <c r="AF12"/>
  <c r="AH12"/>
  <c r="AM12"/>
  <c r="AO12"/>
  <c r="F13"/>
  <c r="K13"/>
  <c r="M13"/>
  <c r="R13"/>
  <c r="T13"/>
  <c r="Y13"/>
  <c r="AA13"/>
  <c r="AF13"/>
  <c r="AH13"/>
  <c r="AM13"/>
  <c r="AO13"/>
  <c r="F14"/>
  <c r="K14"/>
  <c r="M14"/>
  <c r="R14"/>
  <c r="T14"/>
  <c r="Y14"/>
  <c r="AA14"/>
  <c r="AF14"/>
  <c r="AH14"/>
  <c r="AM14"/>
  <c r="AO14"/>
  <c r="F15"/>
  <c r="K15"/>
  <c r="M15"/>
  <c r="R15"/>
  <c r="T15"/>
  <c r="Y15"/>
  <c r="AA15"/>
  <c r="AF15"/>
  <c r="AH15"/>
  <c r="AM15"/>
  <c r="AO15"/>
  <c r="F16"/>
  <c r="K16"/>
  <c r="M16"/>
  <c r="R16"/>
  <c r="T16"/>
  <c r="Y16"/>
  <c r="AA16"/>
  <c r="AF16"/>
  <c r="AJ16"/>
  <c r="AJ33"/>
  <c r="AJ34"/>
  <c r="AJ35"/>
  <c r="AJ37"/>
  <c r="AJ38"/>
  <c r="AO32"/>
  <c r="AQ32"/>
  <c r="AQ33"/>
  <c r="AQ34"/>
  <c r="AQ35"/>
  <c r="AQ37"/>
  <c r="AQ38"/>
  <c r="F33"/>
  <c r="H33"/>
  <c r="H34"/>
  <c r="H35"/>
  <c r="H37"/>
  <c r="H38"/>
  <c r="K33"/>
  <c r="M33"/>
  <c r="O33"/>
  <c r="O34"/>
  <c r="O35"/>
  <c r="O37"/>
  <c r="O38"/>
  <c r="R33"/>
  <c r="T33"/>
  <c r="V33"/>
  <c r="V34"/>
  <c r="V35"/>
  <c r="V37"/>
  <c r="V38"/>
  <c r="Y33"/>
  <c r="AA33"/>
  <c r="AC33"/>
  <c r="AC34"/>
  <c r="AC35"/>
  <c r="AC37"/>
  <c r="AC38"/>
  <c r="AF33"/>
  <c r="AH33"/>
  <c r="AM33"/>
  <c r="AO33"/>
  <c r="F34"/>
  <c r="K34"/>
  <c r="M34"/>
  <c r="R34"/>
  <c r="T34"/>
  <c r="Y34"/>
  <c r="AA34"/>
  <c r="AF34"/>
  <c r="AH34"/>
  <c r="AM34"/>
  <c r="AO34"/>
  <c r="F35"/>
  <c r="K35"/>
  <c r="M35"/>
  <c r="R35"/>
  <c r="T35"/>
  <c r="Y35"/>
  <c r="AA35"/>
  <c r="AF35"/>
  <c r="AH35"/>
  <c r="AM35"/>
  <c r="AO35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E34" i="86"/>
  <c r="F34"/>
  <c r="H34"/>
  <c r="G34"/>
  <c r="R34"/>
  <c r="S34"/>
  <c r="U34"/>
  <c r="V34"/>
  <c r="T34"/>
  <c r="T28"/>
  <c r="U28"/>
  <c r="V28"/>
  <c r="S28"/>
  <c r="R28"/>
  <c r="T26"/>
  <c r="V26"/>
  <c r="U26"/>
  <c r="S26"/>
  <c r="R26"/>
  <c r="V16"/>
  <c r="T16"/>
  <c r="S16"/>
  <c r="R16"/>
  <c r="U16"/>
  <c r="S14"/>
  <c r="U14"/>
  <c r="V14"/>
  <c r="T14"/>
  <c r="R14"/>
  <c r="AA32"/>
  <c r="Z32"/>
  <c r="AC32"/>
  <c r="AB32"/>
  <c r="AB18"/>
  <c r="AA18"/>
  <c r="Z18"/>
  <c r="AC18"/>
  <c r="AH34"/>
  <c r="AJ34"/>
  <c r="AI34"/>
  <c r="AG34"/>
  <c r="AH20"/>
  <c r="AI20"/>
  <c r="AJ20"/>
  <c r="AG20"/>
  <c r="AI12"/>
  <c r="AH12"/>
  <c r="AG12"/>
  <c r="AJ12"/>
  <c r="AH6"/>
  <c r="AG6"/>
  <c r="AI6"/>
  <c r="AJ6"/>
  <c r="AQ32"/>
  <c r="AO32"/>
  <c r="AN32"/>
  <c r="AP32"/>
  <c r="AO30"/>
  <c r="AQ30"/>
  <c r="AO28"/>
  <c r="AQ28"/>
  <c r="AP28"/>
  <c r="AO26"/>
  <c r="AP26"/>
  <c r="AQ24"/>
  <c r="AO24"/>
  <c r="AO22"/>
  <c r="AQ22"/>
  <c r="AP22"/>
  <c r="AO18"/>
  <c r="AQ18"/>
  <c r="AN18"/>
  <c r="M17"/>
  <c r="F18"/>
  <c r="H18"/>
  <c r="M22"/>
  <c r="O22"/>
  <c r="L22"/>
  <c r="N22"/>
  <c r="T31"/>
  <c r="R31"/>
  <c r="U31"/>
  <c r="AB8"/>
  <c r="AC8"/>
  <c r="AB14"/>
  <c r="Z14"/>
  <c r="AC14"/>
  <c r="AI9"/>
  <c r="AG9"/>
  <c r="AJ9"/>
  <c r="AH16"/>
  <c r="AG16"/>
  <c r="AO34"/>
  <c r="F32"/>
  <c r="H32"/>
  <c r="G32"/>
  <c r="F26"/>
  <c r="H26"/>
  <c r="E26"/>
  <c r="G26"/>
  <c r="H22"/>
  <c r="F22"/>
  <c r="F16"/>
  <c r="F12"/>
  <c r="E6"/>
  <c r="H6"/>
  <c r="N16"/>
  <c r="M16"/>
  <c r="T22"/>
  <c r="U22"/>
  <c r="V18"/>
  <c r="S18"/>
  <c r="U18"/>
  <c r="S12"/>
  <c r="R12"/>
  <c r="U12"/>
  <c r="AC30"/>
  <c r="AB30"/>
  <c r="AA28"/>
  <c r="Z28"/>
  <c r="AA26"/>
  <c r="Z26"/>
  <c r="AC26"/>
  <c r="AC22"/>
  <c r="AH32"/>
  <c r="AI32"/>
  <c r="AG30"/>
  <c r="AI30"/>
  <c r="AJ28"/>
  <c r="AG28"/>
  <c r="AI28"/>
  <c r="AH24"/>
  <c r="AJ24"/>
  <c r="AG18"/>
  <c r="AQ20"/>
  <c r="AN20"/>
  <c r="AP20"/>
  <c r="AQ16"/>
  <c r="AN16"/>
  <c r="U5"/>
  <c r="T5"/>
  <c r="V5"/>
  <c r="AI5"/>
  <c r="AH5"/>
  <c r="AG7"/>
  <c r="Z9"/>
  <c r="AC9"/>
  <c r="H11"/>
  <c r="AI11"/>
  <c r="AH11"/>
  <c r="AJ11"/>
  <c r="AB13"/>
  <c r="AA13"/>
  <c r="AC13"/>
  <c r="G15"/>
  <c r="F15"/>
  <c r="AI15"/>
  <c r="AH15"/>
  <c r="AJ15"/>
  <c r="T19"/>
  <c r="V19"/>
  <c r="AH19"/>
  <c r="AC21"/>
  <c r="AA21"/>
  <c r="AO21"/>
  <c r="AP21"/>
  <c r="AO23"/>
  <c r="AP23"/>
  <c r="AJ25"/>
  <c r="AI25"/>
  <c r="Z27"/>
  <c r="AB27"/>
  <c r="AC27"/>
  <c r="AN27"/>
  <c r="AO27"/>
  <c r="AP27"/>
  <c r="T29"/>
  <c r="R29"/>
  <c r="S29"/>
  <c r="U29"/>
  <c r="AH29"/>
  <c r="AJ29"/>
  <c r="AG29"/>
  <c r="AI29"/>
  <c r="Z31"/>
  <c r="AB31"/>
  <c r="AO31"/>
  <c r="AN31"/>
  <c r="AQ31"/>
  <c r="T33"/>
  <c r="S33"/>
  <c r="AH33"/>
  <c r="AG33"/>
  <c r="AI33"/>
  <c r="F21"/>
  <c r="H21"/>
  <c r="E17"/>
  <c r="H17"/>
  <c r="L15"/>
  <c r="O15"/>
  <c r="U7"/>
  <c r="V7"/>
  <c r="T7"/>
  <c r="AQ12"/>
  <c r="AP12"/>
  <c r="AQ10"/>
  <c r="AG26"/>
  <c r="AI26"/>
  <c r="AG22"/>
  <c r="AI14"/>
  <c r="AB20"/>
  <c r="AA12"/>
  <c r="AC10"/>
  <c r="AB10"/>
  <c r="S23"/>
  <c r="R23"/>
  <c r="O34"/>
  <c r="AQ6"/>
  <c r="AJ10"/>
  <c r="AB34"/>
  <c r="AC34"/>
  <c r="AA16"/>
  <c r="AB6"/>
  <c r="R24"/>
  <c r="S24"/>
  <c r="V10"/>
  <c r="U10"/>
  <c r="U6"/>
  <c r="AO14"/>
  <c r="AI8"/>
  <c r="AC35"/>
  <c r="AB24"/>
  <c r="Z24"/>
  <c r="T32"/>
  <c r="U30"/>
  <c r="V30"/>
  <c r="U8"/>
  <c r="O20"/>
  <c r="AH30"/>
  <c r="AI18"/>
  <c r="AJ18"/>
  <c r="AA14"/>
  <c r="S31"/>
  <c r="S22"/>
  <c r="AC28"/>
  <c r="AA8"/>
  <c r="F6"/>
  <c r="AJ16"/>
  <c r="T12"/>
  <c r="O16"/>
  <c r="H16"/>
  <c r="E16"/>
  <c r="AI24"/>
  <c r="G22"/>
  <c r="G30"/>
  <c r="U20"/>
  <c r="AB22"/>
  <c r="AP34"/>
  <c r="AG32"/>
  <c r="Z22"/>
  <c r="S20"/>
  <c r="E18"/>
  <c r="Z17"/>
  <c r="L17"/>
  <c r="AO8"/>
  <c r="O17"/>
  <c r="R20"/>
  <c r="R18"/>
  <c r="T18"/>
  <c r="AA30"/>
  <c r="AA22"/>
  <c r="AH28"/>
  <c r="AQ35"/>
  <c r="AP35"/>
  <c r="AO35"/>
  <c r="AN35"/>
  <c r="AO33"/>
  <c r="AN33"/>
  <c r="AQ33"/>
  <c r="AP33"/>
  <c r="AO25"/>
  <c r="AQ25"/>
  <c r="AN25"/>
  <c r="AP25"/>
  <c r="AO19"/>
  <c r="AN19"/>
  <c r="AP19"/>
  <c r="AQ19"/>
  <c r="AQ17"/>
  <c r="AN17"/>
  <c r="AP17"/>
  <c r="AO17"/>
  <c r="AN15"/>
  <c r="AP15"/>
  <c r="AO15"/>
  <c r="AQ15"/>
  <c r="AN13"/>
  <c r="AQ13"/>
  <c r="AP13"/>
  <c r="AO13"/>
  <c r="AQ29"/>
  <c r="AN29"/>
  <c r="AP11"/>
  <c r="AQ14"/>
  <c r="AP30"/>
  <c r="AP24"/>
  <c r="AP18"/>
  <c r="AP16"/>
  <c r="AQ9"/>
  <c r="AQ8"/>
  <c r="AN30"/>
  <c r="AN28"/>
  <c r="AN26"/>
  <c r="AN24"/>
  <c r="AN23"/>
  <c r="AN22"/>
  <c r="AN21"/>
  <c r="AQ34"/>
  <c r="AQ26"/>
  <c r="AO20"/>
  <c r="AO16"/>
  <c r="AG37" i="85"/>
  <c r="AG38"/>
  <c r="S37"/>
  <c r="S38"/>
  <c r="E37"/>
  <c r="E38"/>
  <c r="AN37"/>
  <c r="AN38"/>
  <c r="Z37"/>
  <c r="Z38"/>
  <c r="L37"/>
  <c r="L38"/>
  <c r="AG37" i="84"/>
  <c r="AG38"/>
  <c r="S37"/>
  <c r="S38"/>
  <c r="E37"/>
  <c r="E38"/>
  <c r="AN37"/>
  <c r="AN38"/>
  <c r="Z37"/>
  <c r="Z38"/>
  <c r="L37"/>
  <c r="L38"/>
  <c r="AG37" i="83"/>
  <c r="AG38"/>
  <c r="S37"/>
  <c r="S38"/>
  <c r="E37"/>
  <c r="E38"/>
  <c r="AN37"/>
  <c r="AN38"/>
  <c r="Z37"/>
  <c r="Z38"/>
  <c r="L37"/>
  <c r="L38"/>
  <c r="AN37" i="82"/>
  <c r="AN38"/>
  <c r="AG37"/>
  <c r="AG38"/>
  <c r="Z37"/>
  <c r="Z38"/>
  <c r="S37"/>
  <c r="S38"/>
  <c r="L37"/>
  <c r="L38"/>
  <c r="E37"/>
  <c r="E38"/>
  <c r="AO37"/>
  <c r="AO38"/>
  <c r="AH37"/>
  <c r="AH38"/>
  <c r="AA37"/>
  <c r="AA38"/>
  <c r="T37"/>
  <c r="T38"/>
  <c r="M37"/>
  <c r="M38"/>
  <c r="F37"/>
  <c r="F38"/>
  <c r="AP37"/>
  <c r="AP38"/>
  <c r="AI37"/>
  <c r="AI38"/>
  <c r="AB37"/>
  <c r="AB38"/>
  <c r="U37"/>
  <c r="U38"/>
  <c r="N37"/>
  <c r="N38"/>
  <c r="G37"/>
  <c r="G38"/>
  <c r="L7" i="81" l="1"/>
  <c r="F19" i="86"/>
  <c r="E7"/>
  <c r="K6" i="81"/>
  <c r="H35"/>
  <c r="F35"/>
  <c r="C10" i="86"/>
  <c r="F27" i="81"/>
  <c r="L32"/>
  <c r="C9" i="86"/>
  <c r="G6" i="81"/>
  <c r="F6"/>
  <c r="H6"/>
  <c r="H30"/>
  <c r="E30" i="86"/>
  <c r="G30" i="81"/>
  <c r="F30"/>
  <c r="K32"/>
  <c r="K21"/>
  <c r="L12"/>
  <c r="C35" i="86"/>
  <c r="G23" i="81"/>
  <c r="H23"/>
  <c r="G14" i="86"/>
  <c r="H14"/>
  <c r="C8"/>
  <c r="H7"/>
  <c r="G7"/>
  <c r="K31" i="81"/>
  <c r="K23"/>
  <c r="C28" i="86"/>
  <c r="G19"/>
  <c r="E19"/>
  <c r="H31"/>
  <c r="E31"/>
  <c r="F29"/>
  <c r="H29"/>
  <c r="C24"/>
  <c r="L21" i="81"/>
  <c r="L23"/>
  <c r="K8"/>
  <c r="M8"/>
  <c r="L35"/>
  <c r="M35"/>
  <c r="L31"/>
  <c r="L27"/>
  <c r="K27"/>
  <c r="M23"/>
  <c r="M21"/>
  <c r="M12"/>
  <c r="L11"/>
  <c r="M11"/>
  <c r="L10"/>
  <c r="M10"/>
  <c r="N10"/>
  <c r="N9"/>
  <c r="N8"/>
  <c r="M7"/>
  <c r="L6"/>
  <c r="N6"/>
  <c r="M6"/>
  <c r="H5"/>
  <c r="C5" i="86"/>
  <c r="F5" s="1"/>
  <c r="N35" i="81"/>
  <c r="N33"/>
  <c r="M31"/>
  <c r="N31"/>
  <c r="N29"/>
  <c r="L26"/>
  <c r="M25"/>
  <c r="L25"/>
  <c r="K24"/>
  <c r="L24"/>
  <c r="M24"/>
  <c r="N23"/>
  <c r="N21"/>
  <c r="L19"/>
  <c r="L18"/>
  <c r="M9"/>
  <c r="N7"/>
  <c r="H27"/>
  <c r="G27"/>
  <c r="F27" i="86"/>
  <c r="H27"/>
  <c r="G20" i="81"/>
  <c r="C20" i="86"/>
  <c r="E20" i="81"/>
  <c r="F19"/>
  <c r="E19"/>
  <c r="F18"/>
  <c r="E18"/>
  <c r="E12" i="86"/>
  <c r="G12"/>
  <c r="F12" i="81"/>
  <c r="G12"/>
  <c r="E12"/>
  <c r="H11"/>
  <c r="F11"/>
  <c r="G11" i="86"/>
  <c r="F7" i="81"/>
  <c r="G7"/>
  <c r="F5"/>
  <c r="E5"/>
  <c r="F4" i="86"/>
  <c r="F37" s="1"/>
  <c r="F38" s="1"/>
  <c r="G4"/>
  <c r="G37" s="1"/>
  <c r="G38" s="1"/>
  <c r="E4"/>
  <c r="E37" s="1"/>
  <c r="E38" s="1"/>
  <c r="H4"/>
  <c r="H37" s="1"/>
  <c r="H38" s="1"/>
  <c r="D4"/>
  <c r="E4" i="81"/>
  <c r="H4"/>
  <c r="G4"/>
  <c r="L33"/>
  <c r="M33"/>
  <c r="K28"/>
  <c r="L28"/>
  <c r="N28"/>
  <c r="N18"/>
  <c r="M28"/>
  <c r="K26"/>
  <c r="M26"/>
  <c r="N26"/>
  <c r="L13"/>
  <c r="K30"/>
  <c r="L30"/>
  <c r="M30"/>
  <c r="N30"/>
  <c r="N24"/>
  <c r="K10"/>
  <c r="L9"/>
  <c r="K7"/>
  <c r="K29"/>
  <c r="L29"/>
  <c r="M29"/>
  <c r="M32"/>
  <c r="M27"/>
  <c r="N27"/>
  <c r="M19"/>
  <c r="N19"/>
  <c r="M14"/>
  <c r="K9"/>
  <c r="L8"/>
  <c r="O35" i="86"/>
  <c r="L35"/>
  <c r="K35"/>
  <c r="N35"/>
  <c r="M35"/>
  <c r="M33"/>
  <c r="O33"/>
  <c r="K33"/>
  <c r="N33"/>
  <c r="L33"/>
  <c r="K32"/>
  <c r="L32"/>
  <c r="M32"/>
  <c r="N32"/>
  <c r="O32"/>
  <c r="N32" i="81"/>
  <c r="M31" i="86"/>
  <c r="L31"/>
  <c r="K31"/>
  <c r="N31"/>
  <c r="O31"/>
  <c r="K30"/>
  <c r="M30"/>
  <c r="L30"/>
  <c r="N30"/>
  <c r="O30"/>
  <c r="L29"/>
  <c r="M29"/>
  <c r="K29"/>
  <c r="O29"/>
  <c r="N29"/>
  <c r="K28"/>
  <c r="M28"/>
  <c r="O28"/>
  <c r="L28"/>
  <c r="N28"/>
  <c r="N27"/>
  <c r="M27"/>
  <c r="K27"/>
  <c r="O27"/>
  <c r="L27"/>
  <c r="K26"/>
  <c r="N26"/>
  <c r="O26"/>
  <c r="M26"/>
  <c r="L26"/>
  <c r="O25"/>
  <c r="K25"/>
  <c r="M25"/>
  <c r="N25"/>
  <c r="L25"/>
  <c r="N25" i="81"/>
  <c r="K24" i="86"/>
  <c r="L24"/>
  <c r="O24"/>
  <c r="M24"/>
  <c r="N24"/>
  <c r="M23"/>
  <c r="L23"/>
  <c r="K23"/>
  <c r="O23"/>
  <c r="N23"/>
  <c r="N21"/>
  <c r="O21"/>
  <c r="M21"/>
  <c r="K21"/>
  <c r="L21"/>
  <c r="O19"/>
  <c r="M19"/>
  <c r="K19"/>
  <c r="N19"/>
  <c r="L19"/>
  <c r="K18"/>
  <c r="O18"/>
  <c r="N18"/>
  <c r="M18"/>
  <c r="L18"/>
  <c r="K14"/>
  <c r="L14"/>
  <c r="M14"/>
  <c r="O14"/>
  <c r="N14"/>
  <c r="L14" i="81"/>
  <c r="N14"/>
  <c r="O13" i="86"/>
  <c r="N13"/>
  <c r="K13"/>
  <c r="L13"/>
  <c r="M13"/>
  <c r="K12"/>
  <c r="L12"/>
  <c r="O12"/>
  <c r="N12"/>
  <c r="M12"/>
  <c r="N11"/>
  <c r="O11"/>
  <c r="K11"/>
  <c r="M11"/>
  <c r="L11"/>
  <c r="K10"/>
  <c r="L10"/>
  <c r="M10"/>
  <c r="N10"/>
  <c r="O10"/>
  <c r="N9"/>
  <c r="O9"/>
  <c r="L9"/>
  <c r="K9"/>
  <c r="M9"/>
  <c r="K8"/>
  <c r="O8"/>
  <c r="N8"/>
  <c r="M8"/>
  <c r="L8"/>
  <c r="O7"/>
  <c r="M7"/>
  <c r="K7"/>
  <c r="N7"/>
  <c r="L7"/>
  <c r="K6"/>
  <c r="M6"/>
  <c r="L6"/>
  <c r="N6"/>
  <c r="O6"/>
  <c r="O37" i="81"/>
  <c r="O38" s="1"/>
  <c r="N5" i="86"/>
  <c r="M5"/>
  <c r="L5"/>
  <c r="K5"/>
  <c r="O5"/>
  <c r="K5" i="81"/>
  <c r="L5"/>
  <c r="M5"/>
  <c r="N5"/>
  <c r="H10" i="86" l="1"/>
  <c r="G10"/>
  <c r="E10"/>
  <c r="F10"/>
  <c r="E9"/>
  <c r="G9"/>
  <c r="F9"/>
  <c r="H9"/>
  <c r="G35"/>
  <c r="H35"/>
  <c r="E35"/>
  <c r="F35"/>
  <c r="G8"/>
  <c r="E8"/>
  <c r="F8"/>
  <c r="H8"/>
  <c r="F28"/>
  <c r="H28"/>
  <c r="G28"/>
  <c r="E28"/>
  <c r="E5"/>
  <c r="E24"/>
  <c r="G24"/>
  <c r="H24"/>
  <c r="F24"/>
  <c r="G37" i="81"/>
  <c r="G38" s="1"/>
  <c r="E37"/>
  <c r="E38" s="1"/>
  <c r="H5" i="86"/>
  <c r="G5"/>
  <c r="M37" i="81"/>
  <c r="M38" s="1"/>
  <c r="H37"/>
  <c r="H38" s="1"/>
  <c r="F20" i="86"/>
  <c r="G20"/>
  <c r="H20"/>
  <c r="E20"/>
  <c r="F37" i="81"/>
  <c r="F38" s="1"/>
  <c r="N37"/>
  <c r="N38" s="1"/>
  <c r="L37"/>
  <c r="L38" s="1"/>
</calcChain>
</file>

<file path=xl/sharedStrings.xml><?xml version="1.0" encoding="utf-8"?>
<sst xmlns="http://schemas.openxmlformats.org/spreadsheetml/2006/main" count="728" uniqueCount="83">
  <si>
    <t>Среднесуточные наборы пищевых продуктов, в том числе, используемых для приготовления блюд и напитков, для обучающихся общеобразовательных учреждений   (приложение 8 к СанПиН 2.4.5.2409-08)</t>
  </si>
  <si>
    <t>Расчет химического состава продуктов по данным справочника под ред.И.М.Скурихина и В.А.Тутельяна, 2002 г.</t>
  </si>
  <si>
    <t>Наименование продукции</t>
  </si>
  <si>
    <t>7 - 10 лет</t>
  </si>
  <si>
    <t>11 - 18 лет</t>
  </si>
  <si>
    <t>брутто, г</t>
  </si>
  <si>
    <t>нетто, г</t>
  </si>
  <si>
    <t>белки, г</t>
  </si>
  <si>
    <t>жиры, г</t>
  </si>
  <si>
    <t>углеводы, г</t>
  </si>
  <si>
    <t>калорийность, ккал</t>
  </si>
  <si>
    <t>хлеб ржаной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</si>
  <si>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</si>
  <si>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</si>
  <si>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</si>
  <si>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</si>
  <si>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</si>
  <si>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</si>
  <si>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</si>
  <si>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в т.ч. шиповник</t>
  </si>
  <si>
    <t>соки плодоовощные, напитки витаминизированные, в т.ч. инстантные</t>
  </si>
  <si>
    <t xml:space="preserve">мясо жилованное </t>
  </si>
  <si>
    <t>или мясо на кости 1 кат.</t>
  </si>
  <si>
    <t>цыплята 1 категории потрошенные</t>
  </si>
  <si>
    <t>или куры 1 кат. п/п</t>
  </si>
  <si>
    <t>рыба-филе</t>
  </si>
  <si>
    <t>колбасные изделия</t>
  </si>
  <si>
    <r>
      <t>молоко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</si>
  <si>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</si>
  <si>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кисломолочные продукты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</si>
  <si>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                   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</si>
  <si>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творог (</t>
    </r>
    <r>
      <rPr>
        <sz val="8"/>
        <rFont val="Arial Cyr"/>
        <charset val="204"/>
      </rPr>
      <t>массовая доля жира 9%</t>
    </r>
    <r>
      <rPr>
        <sz val="10"/>
        <rFont val="Arial Cyr"/>
        <family val="2"/>
        <charset val="204"/>
      </rPr>
      <t>)</t>
    </r>
  </si>
  <si>
    <t>сыр</t>
  </si>
  <si>
    <r>
      <t>сметана (</t>
    </r>
    <r>
      <rPr>
        <sz val="8"/>
        <rFont val="Arial Cyr"/>
        <charset val="204"/>
      </rPr>
      <t>массовая доля жира не более 15%</t>
    </r>
    <r>
      <rPr>
        <sz val="10"/>
        <rFont val="Arial Cyr"/>
        <family val="2"/>
        <charset val="204"/>
      </rPr>
      <t>)</t>
    </r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</si>
  <si>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</si>
  <si>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</si>
  <si>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</si>
  <si>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</si>
  <si>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</si>
  <si>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</si>
  <si>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</si>
  <si>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хлебопекарные</t>
  </si>
  <si>
    <t>соль</t>
  </si>
  <si>
    <t>Биологическая ценность рациона:</t>
  </si>
  <si>
    <t>белки</t>
  </si>
  <si>
    <t xml:space="preserve"> г, в т.ч.жив. </t>
  </si>
  <si>
    <t xml:space="preserve"> г </t>
  </si>
  <si>
    <t>жиры</t>
  </si>
  <si>
    <t xml:space="preserve"> г, в т.ч.раст.</t>
  </si>
  <si>
    <t xml:space="preserve"> г</t>
  </si>
  <si>
    <t>углеводы</t>
  </si>
  <si>
    <t>калорийность</t>
  </si>
  <si>
    <t xml:space="preserve"> ккал</t>
  </si>
  <si>
    <t>птица среднее</t>
  </si>
  <si>
    <t>молоко среднее</t>
  </si>
  <si>
    <t>кефир среднее</t>
  </si>
  <si>
    <t>(МЕСЯЦ, ГОД)</t>
  </si>
  <si>
    <t>(УЧРЕЖДЕНИЯ)</t>
  </si>
  <si>
    <t>продукты</t>
  </si>
  <si>
    <r>
      <rPr>
        <b/>
        <sz val="11"/>
        <rFont val="Arial"/>
        <family val="2"/>
        <charset val="204"/>
      </rPr>
      <t>ЗАВТРАКИ</t>
    </r>
    <r>
      <rPr>
        <sz val="11"/>
        <rFont val="Arial"/>
        <family val="2"/>
      </rPr>
      <t xml:space="preserve"> 7 - 10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</si>
  <si>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ЗАВТРАКИ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</si>
  <si>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ОБЕДЫ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</si>
  <si>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rFont val="Arial"/>
        <family val="2"/>
        <charset val="204"/>
      </rPr>
      <t>ОБЕДЫ</t>
    </r>
    <r>
      <rPr>
        <sz val="11"/>
        <rFont val="Arial"/>
        <family val="2"/>
      </rPr>
      <t xml:space="preserve"> 11 - 18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</si>
  <si>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color indexed="8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(60% от норм)</t>
    </r>
  </si>
  <si>
    <r>
      <rPr>
        <b/>
        <sz val="11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(60% от норм)</t>
    </r>
  </si>
  <si>
    <t>% от нормы</t>
  </si>
  <si>
    <t>овощи, зелень</t>
  </si>
  <si>
    <t>фрукты свежие</t>
  </si>
  <si>
    <t>фрукты сухие, в т.ч. шиповник</t>
  </si>
  <si>
    <t>соки и витаминиз.напитки</t>
  </si>
  <si>
    <t>мясо жилованное</t>
  </si>
  <si>
    <t>цыплята 1 кат.потрошенные</t>
  </si>
  <si>
    <t>или куры 1 кат.п/п</t>
  </si>
  <si>
    <t>молоко 2,5%</t>
  </si>
  <si>
    <t>или 3,2%</t>
  </si>
  <si>
    <t>кисломолочные продукты 2,5%</t>
  </si>
  <si>
    <t>творог</t>
  </si>
  <si>
    <t>сметана</t>
  </si>
  <si>
    <t>яйцо (в штуках)</t>
  </si>
  <si>
    <t>дрожжи</t>
  </si>
  <si>
    <t>фактическая</t>
  </si>
  <si>
    <t>(УЧРЕЖДЕНИЕ)</t>
  </si>
  <si>
    <t>МБОУ Горкинская СШ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</si>
</sst>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mmmm\ yyyy;@"/>
  </numFmts>
  <fonts count="21">
    <font>
      <sz val="10"/>
      <name val="Arial"/>
    </font>
    <font>
      <sz val="10"/>
      <name val="Arial"/>
    </font>
    <font>
      <sz val="11"/>
      <name val="Arial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6"/>
      <name val="Arial"/>
      <family val="2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Border="1"/>
    <xf numFmtId="0" fontId="8" fillId="0" borderId="0" xfId="0" applyFont="1"/>
    <xf numFmtId="0" fontId="6" fillId="0" borderId="0" xfId="0" applyFont="1"/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64" fontId="8" fillId="0" borderId="0" xfId="0" applyNumberFormat="1" applyFon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164" fontId="9" fillId="0" borderId="16" xfId="0" applyNumberFormat="1" applyFont="1" applyBorder="1" applyAlignment="1">
      <alignment horizontal="right" vertical="top"/>
    </xf>
    <xf numFmtId="165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 horizontal="center" vertical="top" wrapText="1"/>
    </xf>
    <xf numFmtId="1" fontId="8" fillId="0" borderId="0" xfId="0" applyNumberFormat="1" applyFont="1" applyBorder="1" applyAlignment="1" applyProtection="1">
      <alignment horizontal="center" vertical="top" wrapText="1"/>
    </xf>
    <xf numFmtId="164" fontId="4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7" fillId="0" borderId="18" xfId="0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164" fontId="9" fillId="0" borderId="19" xfId="0" applyNumberFormat="1" applyFont="1" applyBorder="1" applyAlignment="1">
      <alignment horizontal="right" vertical="top"/>
    </xf>
    <xf numFmtId="164" fontId="9" fillId="0" borderId="6" xfId="0" applyNumberFormat="1" applyFont="1" applyBorder="1" applyAlignment="1">
      <alignment horizontal="right" vertical="top"/>
    </xf>
    <xf numFmtId="164" fontId="4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164" fontId="4" fillId="0" borderId="24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" fontId="4" fillId="0" borderId="26" xfId="0" applyNumberFormat="1" applyFont="1" applyFill="1" applyBorder="1" applyAlignment="1">
      <alignment horizontal="center" vertical="top" wrapText="1"/>
    </xf>
    <xf numFmtId="1" fontId="4" fillId="0" borderId="27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30" xfId="0" applyFont="1" applyFill="1" applyBorder="1" applyAlignment="1">
      <alignment vertical="top" wrapText="1"/>
    </xf>
    <xf numFmtId="1" fontId="4" fillId="0" borderId="31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39" xfId="0" applyFont="1" applyBorder="1" applyAlignment="1" applyProtection="1">
      <alignment horizontal="center" vertical="top" wrapText="1"/>
    </xf>
    <xf numFmtId="0" fontId="3" fillId="0" borderId="40" xfId="0" applyFont="1" applyBorder="1" applyAlignment="1" applyProtection="1">
      <alignment horizontal="center" vertical="top" wrapText="1"/>
    </xf>
    <xf numFmtId="164" fontId="3" fillId="0" borderId="41" xfId="0" applyNumberFormat="1" applyFont="1" applyBorder="1" applyAlignment="1" applyProtection="1">
      <alignment horizontal="center" wrapText="1"/>
    </xf>
    <xf numFmtId="164" fontId="3" fillId="0" borderId="42" xfId="0" applyNumberFormat="1" applyFont="1" applyBorder="1" applyAlignment="1" applyProtection="1">
      <alignment horizontal="center" wrapText="1"/>
    </xf>
    <xf numFmtId="164" fontId="3" fillId="0" borderId="3" xfId="0" applyNumberFormat="1" applyFont="1" applyBorder="1" applyAlignment="1" applyProtection="1">
      <alignment horizontal="center" wrapText="1"/>
    </xf>
    <xf numFmtId="164" fontId="3" fillId="0" borderId="27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right" vertical="top" wrapText="1"/>
    </xf>
    <xf numFmtId="164" fontId="3" fillId="0" borderId="3" xfId="0" applyNumberFormat="1" applyFont="1" applyBorder="1" applyAlignment="1" applyProtection="1">
      <alignment horizontal="right" vertical="top" wrapText="1"/>
    </xf>
    <xf numFmtId="1" fontId="3" fillId="0" borderId="27" xfId="0" applyNumberFormat="1" applyFont="1" applyBorder="1" applyAlignment="1" applyProtection="1">
      <alignment horizontal="right" vertical="top" wrapText="1"/>
    </xf>
    <xf numFmtId="0" fontId="3" fillId="0" borderId="16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vertical="top" wrapText="1"/>
    </xf>
    <xf numFmtId="0" fontId="13" fillId="0" borderId="19" xfId="0" applyFont="1" applyFill="1" applyBorder="1" applyAlignment="1" applyProtection="1">
      <alignment vertical="top" wrapText="1"/>
    </xf>
    <xf numFmtId="0" fontId="3" fillId="0" borderId="43" xfId="0" applyFont="1" applyBorder="1" applyAlignment="1" applyProtection="1">
      <alignment vertical="top" wrapText="1"/>
    </xf>
    <xf numFmtId="164" fontId="3" fillId="0" borderId="24" xfId="0" applyNumberFormat="1" applyFont="1" applyBorder="1" applyAlignment="1" applyProtection="1">
      <alignment horizontal="center" wrapText="1"/>
    </xf>
    <xf numFmtId="164" fontId="3" fillId="0" borderId="28" xfId="0" applyNumberFormat="1" applyFont="1" applyBorder="1" applyAlignment="1" applyProtection="1">
      <alignment horizontal="center" wrapText="1"/>
    </xf>
    <xf numFmtId="0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Border="1"/>
    <xf numFmtId="1" fontId="10" fillId="0" borderId="43" xfId="0" applyNumberFormat="1" applyFont="1" applyBorder="1" applyAlignment="1">
      <alignment horizontal="right"/>
    </xf>
    <xf numFmtId="0" fontId="13" fillId="0" borderId="19" xfId="0" applyFont="1" applyFill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horizontal="right" vertical="top" wrapText="1"/>
    </xf>
    <xf numFmtId="0" fontId="17" fillId="0" borderId="19" xfId="0" applyFont="1" applyFill="1" applyBorder="1" applyAlignment="1" applyProtection="1">
      <alignment vertical="top" wrapText="1"/>
    </xf>
    <xf numFmtId="0" fontId="3" fillId="0" borderId="44" xfId="0" applyFont="1" applyBorder="1" applyAlignment="1" applyProtection="1">
      <alignment horizontal="center" vertical="top" wrapText="1"/>
    </xf>
    <xf numFmtId="0" fontId="4" fillId="0" borderId="45" xfId="0" applyFont="1" applyBorder="1" applyAlignment="1" applyProtection="1">
      <alignment horizontal="center" vertical="top" wrapText="1"/>
    </xf>
    <xf numFmtId="0" fontId="4" fillId="0" borderId="19" xfId="0" applyFont="1" applyBorder="1" applyAlignment="1" applyProtection="1">
      <alignment vertical="top" wrapText="1"/>
    </xf>
    <xf numFmtId="0" fontId="8" fillId="0" borderId="26" xfId="0" applyFont="1" applyBorder="1" applyAlignment="1" applyProtection="1">
      <alignment wrapText="1"/>
    </xf>
    <xf numFmtId="164" fontId="8" fillId="0" borderId="0" xfId="0" applyNumberFormat="1" applyFont="1" applyBorder="1" applyAlignment="1" applyProtection="1">
      <alignment horizontal="right" vertical="top" wrapText="1"/>
    </xf>
    <xf numFmtId="164" fontId="8" fillId="0" borderId="0" xfId="0" applyNumberFormat="1" applyFont="1" applyBorder="1" applyAlignment="1" applyProtection="1">
      <alignment horizontal="right" wrapText="1"/>
    </xf>
    <xf numFmtId="0" fontId="8" fillId="0" borderId="0" xfId="0" applyFont="1" applyAlignment="1" applyProtection="1">
      <alignment wrapText="1"/>
    </xf>
    <xf numFmtId="164" fontId="12" fillId="0" borderId="3" xfId="0" applyNumberFormat="1" applyFont="1" applyBorder="1" applyAlignment="1" applyProtection="1">
      <alignment horizontal="center" wrapText="1"/>
    </xf>
    <xf numFmtId="0" fontId="2" fillId="0" borderId="46" xfId="0" applyNumberFormat="1" applyFont="1" applyFill="1" applyBorder="1" applyAlignment="1" applyProtection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 wrapText="1"/>
    </xf>
    <xf numFmtId="0" fontId="2" fillId="0" borderId="35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7" xfId="0" applyNumberFormat="1" applyFont="1" applyBorder="1" applyAlignment="1" applyProtection="1">
      <alignment horizontal="center" wrapText="1"/>
    </xf>
    <xf numFmtId="164" fontId="3" fillId="0" borderId="48" xfId="0" applyNumberFormat="1" applyFont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1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</xf>
    <xf numFmtId="164" fontId="3" fillId="0" borderId="49" xfId="0" applyNumberFormat="1" applyFont="1" applyBorder="1" applyAlignment="1" applyProtection="1">
      <alignment horizontal="center" wrapText="1"/>
    </xf>
    <xf numFmtId="0" fontId="3" fillId="0" borderId="50" xfId="0" applyFont="1" applyBorder="1" applyAlignment="1" applyProtection="1">
      <alignment horizontal="center" vertical="top" wrapText="1"/>
    </xf>
    <xf numFmtId="0" fontId="3" fillId="0" borderId="51" xfId="0" applyFont="1" applyBorder="1" applyAlignment="1" applyProtection="1">
      <alignment horizontal="center" vertical="top" wrapText="1"/>
    </xf>
    <xf numFmtId="0" fontId="3" fillId="0" borderId="52" xfId="0" applyFont="1" applyBorder="1" applyAlignment="1" applyProtection="1">
      <alignment horizontal="center" vertical="top" wrapText="1"/>
    </xf>
    <xf numFmtId="0" fontId="4" fillId="0" borderId="53" xfId="0" applyFont="1" applyBorder="1" applyAlignment="1" applyProtection="1">
      <alignment horizontal="center" vertical="top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1" xfId="0" applyNumberFormat="1" applyFont="1" applyFill="1" applyBorder="1" applyAlignment="1" applyProtection="1">
      <alignment horizontal="center" wrapText="1"/>
    </xf>
    <xf numFmtId="164" fontId="3" fillId="0" borderId="42" xfId="0" applyNumberFormat="1" applyFont="1" applyFill="1" applyBorder="1" applyAlignment="1" applyProtection="1">
      <alignment horizontal="center" wrapText="1"/>
    </xf>
    <xf numFmtId="164" fontId="3" fillId="0" borderId="47" xfId="0" applyNumberFormat="1" applyFont="1" applyFill="1" applyBorder="1" applyAlignment="1" applyProtection="1">
      <alignment horizontal="center" wrapText="1"/>
    </xf>
    <xf numFmtId="164" fontId="12" fillId="0" borderId="3" xfId="0" applyNumberFormat="1" applyFont="1" applyFill="1" applyBorder="1" applyAlignment="1" applyProtection="1">
      <alignment horizontal="center" wrapText="1"/>
    </xf>
    <xf numFmtId="164" fontId="3" fillId="0" borderId="3" xfId="0" applyNumberFormat="1" applyFont="1" applyFill="1" applyBorder="1" applyAlignment="1" applyProtection="1">
      <alignment horizontal="center" wrapText="1"/>
    </xf>
    <xf numFmtId="164" fontId="3" fillId="0" borderId="27" xfId="0" applyNumberFormat="1" applyFont="1" applyFill="1" applyBorder="1" applyAlignment="1" applyProtection="1">
      <alignment horizontal="center" wrapText="1"/>
    </xf>
    <xf numFmtId="164" fontId="3" fillId="0" borderId="48" xfId="0" applyNumberFormat="1" applyFont="1" applyFill="1" applyBorder="1" applyAlignment="1" applyProtection="1">
      <alignment horizontal="center" wrapText="1"/>
    </xf>
    <xf numFmtId="164" fontId="12" fillId="0" borderId="24" xfId="0" applyNumberFormat="1" applyFont="1" applyFill="1" applyBorder="1" applyAlignment="1" applyProtection="1">
      <alignment horizontal="center" wrapText="1"/>
    </xf>
    <xf numFmtId="164" fontId="3" fillId="0" borderId="24" xfId="0" applyNumberFormat="1" applyFont="1" applyFill="1" applyBorder="1" applyAlignment="1" applyProtection="1">
      <alignment horizontal="center" wrapText="1"/>
    </xf>
    <xf numFmtId="164" fontId="3" fillId="0" borderId="28" xfId="0" applyNumberFormat="1" applyFont="1" applyFill="1" applyBorder="1" applyAlignment="1" applyProtection="1">
      <alignment horizontal="center" wrapText="1"/>
    </xf>
    <xf numFmtId="164" fontId="3" fillId="0" borderId="49" xfId="0" applyNumberFormat="1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horizontal="right" vertical="top" wrapText="1"/>
    </xf>
    <xf numFmtId="0" fontId="17" fillId="0" borderId="5" xfId="0" applyFont="1" applyFill="1" applyBorder="1" applyAlignment="1" applyProtection="1">
      <alignment vertical="top" wrapText="1"/>
    </xf>
    <xf numFmtId="0" fontId="13" fillId="0" borderId="5" xfId="0" applyFont="1" applyFill="1" applyBorder="1" applyAlignment="1" applyProtection="1">
      <alignment horizontal="right" vertical="top" wrapText="1"/>
    </xf>
    <xf numFmtId="0" fontId="13" fillId="0" borderId="5" xfId="0" applyFont="1" applyFill="1" applyBorder="1" applyAlignment="1" applyProtection="1">
      <alignment vertical="top" wrapText="1"/>
    </xf>
    <xf numFmtId="0" fontId="3" fillId="0" borderId="13" xfId="0" applyFont="1" applyFill="1" applyBorder="1" applyAlignment="1" applyProtection="1">
      <alignment vertical="top" wrapText="1"/>
    </xf>
    <xf numFmtId="164" fontId="3" fillId="0" borderId="2" xfId="0" applyNumberFormat="1" applyFont="1" applyBorder="1" applyAlignment="1" applyProtection="1">
      <alignment horizontal="center" vertical="top" wrapText="1"/>
    </xf>
    <xf numFmtId="164" fontId="3" fillId="0" borderId="3" xfId="0" applyNumberFormat="1" applyFont="1" applyBorder="1" applyAlignment="1" applyProtection="1">
      <alignment horizontal="center" vertical="top" wrapText="1"/>
    </xf>
    <xf numFmtId="1" fontId="3" fillId="0" borderId="27" xfId="0" applyNumberFormat="1" applyFont="1" applyBorder="1" applyAlignment="1" applyProtection="1">
      <alignment horizontal="center" vertical="top" wrapText="1"/>
    </xf>
    <xf numFmtId="164" fontId="4" fillId="0" borderId="25" xfId="0" applyNumberFormat="1" applyFont="1" applyBorder="1" applyAlignment="1" applyProtection="1">
      <alignment horizontal="center" vertical="top" wrapText="1"/>
    </xf>
    <xf numFmtId="164" fontId="4" fillId="0" borderId="24" xfId="0" applyNumberFormat="1" applyFont="1" applyBorder="1" applyAlignment="1" applyProtection="1">
      <alignment horizontal="center" vertical="top" wrapText="1"/>
    </xf>
    <xf numFmtId="164" fontId="4" fillId="0" borderId="28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vertical="center" wrapText="1"/>
    </xf>
    <xf numFmtId="164" fontId="5" fillId="0" borderId="41" xfId="0" applyNumberFormat="1" applyFont="1" applyFill="1" applyBorder="1" applyAlignment="1" applyProtection="1">
      <alignment horizontal="center" wrapText="1"/>
    </xf>
    <xf numFmtId="164" fontId="5" fillId="0" borderId="42" xfId="0" applyNumberFormat="1" applyFont="1" applyFill="1" applyBorder="1" applyAlignment="1" applyProtection="1">
      <alignment horizontal="center" wrapText="1"/>
    </xf>
    <xf numFmtId="164" fontId="5" fillId="0" borderId="3" xfId="0" applyNumberFormat="1" applyFont="1" applyFill="1" applyBorder="1" applyAlignment="1" applyProtection="1">
      <alignment horizontal="center" wrapText="1"/>
    </xf>
    <xf numFmtId="164" fontId="5" fillId="0" borderId="27" xfId="0" applyNumberFormat="1" applyFont="1" applyFill="1" applyBorder="1" applyAlignment="1" applyProtection="1">
      <alignment horizontal="center" wrapText="1"/>
    </xf>
    <xf numFmtId="164" fontId="5" fillId="0" borderId="24" xfId="0" applyNumberFormat="1" applyFont="1" applyFill="1" applyBorder="1" applyAlignment="1" applyProtection="1">
      <alignment horizontal="center" wrapText="1"/>
    </xf>
    <xf numFmtId="164" fontId="5" fillId="0" borderId="28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2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center" vertical="top" wrapText="1"/>
    </xf>
    <xf numFmtId="164" fontId="5" fillId="0" borderId="0" xfId="0" applyNumberFormat="1" applyFont="1" applyBorder="1" applyAlignment="1" applyProtection="1">
      <alignment horizontal="right" vertical="top" wrapText="1"/>
    </xf>
    <xf numFmtId="164" fontId="5" fillId="0" borderId="0" xfId="0" applyNumberFormat="1" applyFont="1" applyBorder="1" applyAlignment="1" applyProtection="1">
      <alignment horizontal="right" wrapText="1"/>
    </xf>
    <xf numFmtId="164" fontId="5" fillId="0" borderId="41" xfId="0" applyNumberFormat="1" applyFont="1" applyBorder="1" applyAlignment="1" applyProtection="1">
      <alignment horizontal="center" wrapText="1"/>
    </xf>
    <xf numFmtId="164" fontId="5" fillId="0" borderId="42" xfId="0" applyNumberFormat="1" applyFont="1" applyBorder="1" applyAlignment="1" applyProtection="1">
      <alignment horizontal="center" wrapText="1"/>
    </xf>
    <xf numFmtId="164" fontId="5" fillId="0" borderId="3" xfId="0" applyNumberFormat="1" applyFont="1" applyBorder="1" applyAlignment="1" applyProtection="1">
      <alignment horizontal="center" wrapText="1"/>
    </xf>
    <xf numFmtId="164" fontId="5" fillId="0" borderId="27" xfId="0" applyNumberFormat="1" applyFont="1" applyBorder="1" applyAlignment="1" applyProtection="1">
      <alignment horizontal="center" wrapText="1"/>
    </xf>
    <xf numFmtId="164" fontId="5" fillId="0" borderId="24" xfId="0" applyNumberFormat="1" applyFont="1" applyBorder="1" applyAlignment="1" applyProtection="1">
      <alignment horizontal="center" wrapText="1"/>
    </xf>
    <xf numFmtId="164" fontId="5" fillId="0" borderId="28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164" fontId="20" fillId="0" borderId="3" xfId="0" applyNumberFormat="1" applyFont="1" applyBorder="1" applyAlignment="1" applyProtection="1">
      <alignment horizontal="center" wrapText="1"/>
    </xf>
    <xf numFmtId="16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14" fillId="0" borderId="54" xfId="0" applyNumberFormat="1" applyFont="1" applyFill="1" applyBorder="1" applyAlignment="1">
      <alignment horizontal="center" wrapText="1"/>
    </xf>
    <xf numFmtId="0" fontId="0" fillId="0" borderId="54" xfId="0" applyBorder="1" applyAlignment="1">
      <alignment horizontal="center"/>
    </xf>
    <xf numFmtId="49" fontId="2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</xf>
    <xf numFmtId="0" fontId="2" fillId="3" borderId="58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5" fillId="0" borderId="5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wrapText="1"/>
    </xf>
    <xf numFmtId="0" fontId="2" fillId="0" borderId="46" xfId="0" applyFont="1" applyBorder="1" applyAlignment="1" applyProtection="1">
      <alignment horizontal="center" wrapText="1"/>
    </xf>
    <xf numFmtId="0" fontId="2" fillId="0" borderId="41" xfId="0" applyFont="1" applyBorder="1" applyAlignment="1" applyProtection="1">
      <alignment horizontal="center" wrapText="1"/>
    </xf>
    <xf numFmtId="0" fontId="2" fillId="0" borderId="42" xfId="0" applyFont="1" applyBorder="1" applyAlignment="1" applyProtection="1">
      <alignment horizont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="83" workbookViewId="0">
      <selection activeCell="B38" sqref="B38"/>
    </sheetView>
  </sheetViews>
  <sheetFormatPr defaultRowHeight="12.75"/>
  <cols>
    <col min="1" max="1" width="52.140625" customWidth="1"/>
    <col min="2" max="3" width="6.5703125" customWidth="1"/>
    <col min="4" max="4" width="5.42578125" customWidth="1"/>
    <col min="5" max="5" width="5.7109375" customWidth="1"/>
    <col min="6" max="6" width="8.42578125" customWidth="1"/>
    <col min="7" max="7" width="11.28515625" customWidth="1"/>
    <col min="8" max="9" width="6.42578125" customWidth="1"/>
    <col min="10" max="10" width="5.5703125" style="3" customWidth="1"/>
    <col min="11" max="11" width="5.28515625" customWidth="1"/>
    <col min="12" max="12" width="8.42578125" customWidth="1"/>
    <col min="13" max="13" width="11.28515625" customWidth="1"/>
  </cols>
  <sheetData>
    <row r="1" spans="1:13" s="13" customFormat="1" ht="27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13" customFormat="1" ht="10.5" customHeight="1" thickBot="1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3.5" customHeight="1" thickBot="1">
      <c r="A3" s="184" t="s">
        <v>2</v>
      </c>
      <c r="B3" s="186" t="s">
        <v>3</v>
      </c>
      <c r="C3" s="187"/>
      <c r="D3" s="187"/>
      <c r="E3" s="187"/>
      <c r="F3" s="187"/>
      <c r="G3" s="188"/>
      <c r="H3" s="186" t="s">
        <v>4</v>
      </c>
      <c r="I3" s="189"/>
      <c r="J3" s="189"/>
      <c r="K3" s="189"/>
      <c r="L3" s="189"/>
      <c r="M3" s="190"/>
    </row>
    <row r="4" spans="1:13" s="2" customFormat="1" ht="21" customHeight="1" thickBot="1">
      <c r="A4" s="185"/>
      <c r="B4" s="18" t="s">
        <v>5</v>
      </c>
      <c r="C4" s="67" t="s">
        <v>6</v>
      </c>
      <c r="D4" s="42" t="s">
        <v>7</v>
      </c>
      <c r="E4" s="19" t="s">
        <v>8</v>
      </c>
      <c r="F4" s="19" t="s">
        <v>9</v>
      </c>
      <c r="G4" s="20" t="s">
        <v>10</v>
      </c>
      <c r="H4" s="18" t="s">
        <v>5</v>
      </c>
      <c r="I4" s="67" t="s">
        <v>6</v>
      </c>
      <c r="J4" s="42" t="s">
        <v>7</v>
      </c>
      <c r="K4" s="19" t="s">
        <v>8</v>
      </c>
      <c r="L4" s="19" t="s">
        <v>9</v>
      </c>
      <c r="M4" s="20" t="s">
        <v>10</v>
      </c>
    </row>
    <row r="5" spans="1:13" ht="13.5" customHeight="1">
      <c r="A5" s="60" t="s">
        <v>11</v>
      </c>
      <c r="B5" s="7">
        <v>80</v>
      </c>
      <c r="C5" s="68">
        <v>80</v>
      </c>
      <c r="D5" s="62">
        <f>4.9*C5/100</f>
        <v>3.92</v>
      </c>
      <c r="E5" s="48">
        <f>1*C5/100</f>
        <v>0.8</v>
      </c>
      <c r="F5" s="48">
        <f>44.8*C5/100</f>
        <v>35.840000000000003</v>
      </c>
      <c r="G5" s="54">
        <f>210*C5/100</f>
        <v>168</v>
      </c>
      <c r="H5" s="49">
        <v>120</v>
      </c>
      <c r="I5" s="72">
        <v>120</v>
      </c>
      <c r="J5" s="62">
        <f>4.9*I5/100</f>
        <v>5.88</v>
      </c>
      <c r="K5" s="48">
        <f>1*I5/100</f>
        <v>1.2</v>
      </c>
      <c r="L5" s="48">
        <f>44.8*I5/100</f>
        <v>53.76</v>
      </c>
      <c r="M5" s="54">
        <f>210*I5/100</f>
        <v>252</v>
      </c>
    </row>
    <row r="6" spans="1:13" ht="13.5" customHeight="1">
      <c r="A6" s="57" t="s">
        <v>12</v>
      </c>
      <c r="B6" s="8">
        <v>150</v>
      </c>
      <c r="C6" s="69">
        <v>150</v>
      </c>
      <c r="D6" s="63">
        <f>7.6*C6/100</f>
        <v>11.4</v>
      </c>
      <c r="E6" s="10">
        <f>0.8*C6/100</f>
        <v>1.2</v>
      </c>
      <c r="F6" s="10">
        <f>49.2*C6/100</f>
        <v>73.8</v>
      </c>
      <c r="G6" s="55">
        <f>235*C6/100</f>
        <v>352.5</v>
      </c>
      <c r="H6" s="9">
        <v>200</v>
      </c>
      <c r="I6" s="69">
        <v>200</v>
      </c>
      <c r="J6" s="63">
        <f>7.6*I6/100</f>
        <v>15.2</v>
      </c>
      <c r="K6" s="10">
        <f>0.8*I6/100</f>
        <v>1.6</v>
      </c>
      <c r="L6" s="10">
        <f>49.2*I6/100</f>
        <v>98.4</v>
      </c>
      <c r="M6" s="55">
        <f>235*I6/100</f>
        <v>470</v>
      </c>
    </row>
    <row r="7" spans="1:13" ht="13.5" customHeight="1">
      <c r="A7" s="57" t="s">
        <v>13</v>
      </c>
      <c r="B7" s="8">
        <v>15</v>
      </c>
      <c r="C7" s="69">
        <v>15</v>
      </c>
      <c r="D7" s="64">
        <f>10.8*C7/100</f>
        <v>1.62</v>
      </c>
      <c r="E7" s="10">
        <f>1.3*C7/100</f>
        <v>0.19500000000000001</v>
      </c>
      <c r="F7" s="10">
        <f>69.9*C7/100</f>
        <v>10.484999999999999</v>
      </c>
      <c r="G7" s="55">
        <f>334*C7/100</f>
        <v>50.1</v>
      </c>
      <c r="H7" s="9">
        <v>20</v>
      </c>
      <c r="I7" s="69">
        <v>20</v>
      </c>
      <c r="J7" s="64">
        <f>10.8*I7/100</f>
        <v>2.16</v>
      </c>
      <c r="K7" s="10">
        <f>1.3*I7/100</f>
        <v>0.26</v>
      </c>
      <c r="L7" s="10">
        <f>69.9*I7/100</f>
        <v>13.98</v>
      </c>
      <c r="M7" s="55">
        <f>334*I7/100</f>
        <v>66.8</v>
      </c>
    </row>
    <row r="8" spans="1:13" ht="13.5" customHeight="1">
      <c r="A8" s="57" t="s">
        <v>14</v>
      </c>
      <c r="B8" s="8">
        <v>45</v>
      </c>
      <c r="C8" s="69">
        <v>45</v>
      </c>
      <c r="D8" s="63">
        <f>(12.3+7+12.6+11.5)*C8/400</f>
        <v>4.8825000000000003</v>
      </c>
      <c r="E8" s="10">
        <f>(6.2+1+3.3+3.3)*C8/400</f>
        <v>1.5525</v>
      </c>
      <c r="F8" s="10">
        <f>(61.8+74+57.1+66.5)*C8/400</f>
        <v>29.182499999999994</v>
      </c>
      <c r="G8" s="55">
        <f>(352+333+308+342)*C8/400</f>
        <v>150.1875</v>
      </c>
      <c r="H8" s="9">
        <v>50</v>
      </c>
      <c r="I8" s="69">
        <v>50</v>
      </c>
      <c r="J8" s="63">
        <f>(12.3+7+12.6+11.5)*I8/400</f>
        <v>5.4249999999999998</v>
      </c>
      <c r="K8" s="10">
        <f>(6.2+1+3.3+3.3)*I8/400</f>
        <v>1.7250000000000001</v>
      </c>
      <c r="L8" s="10">
        <f>(61.8+74+57.1+66.5)*I8/400</f>
        <v>32.424999999999997</v>
      </c>
      <c r="M8" s="55">
        <f>(352+333+308+342)*I8/400</f>
        <v>166.875</v>
      </c>
    </row>
    <row r="9" spans="1:13" ht="13.5" customHeight="1">
      <c r="A9" s="57" t="s">
        <v>15</v>
      </c>
      <c r="B9" s="8">
        <v>15</v>
      </c>
      <c r="C9" s="69">
        <v>15</v>
      </c>
      <c r="D9" s="63">
        <f>11*C9/100</f>
        <v>1.65</v>
      </c>
      <c r="E9" s="10">
        <f>1.3*C9/100</f>
        <v>0.19500000000000001</v>
      </c>
      <c r="F9" s="10">
        <f>70.5*C9/100</f>
        <v>10.574999999999999</v>
      </c>
      <c r="G9" s="55">
        <f>338*C9/100</f>
        <v>50.7</v>
      </c>
      <c r="H9" s="9">
        <v>20</v>
      </c>
      <c r="I9" s="69">
        <v>20</v>
      </c>
      <c r="J9" s="63">
        <f>11*I9/100</f>
        <v>2.2000000000000002</v>
      </c>
      <c r="K9" s="10">
        <f>1.3*I9/100</f>
        <v>0.26</v>
      </c>
      <c r="L9" s="10">
        <f>70.5*I9/100</f>
        <v>14.1</v>
      </c>
      <c r="M9" s="55">
        <f>338*I9/100</f>
        <v>67.599999999999994</v>
      </c>
    </row>
    <row r="10" spans="1:13" ht="13.5" customHeight="1">
      <c r="A10" s="57" t="s">
        <v>16</v>
      </c>
      <c r="B10" s="8">
        <v>250</v>
      </c>
      <c r="C10" s="69">
        <v>188</v>
      </c>
      <c r="D10" s="63">
        <f>2*C10/100</f>
        <v>3.76</v>
      </c>
      <c r="E10" s="10">
        <f>0.4*C10/100</f>
        <v>0.752</v>
      </c>
      <c r="F10" s="10">
        <f>16.3*C10/100</f>
        <v>30.644000000000002</v>
      </c>
      <c r="G10" s="55">
        <f>77*C10/100</f>
        <v>144.76</v>
      </c>
      <c r="H10" s="9">
        <v>250</v>
      </c>
      <c r="I10" s="69">
        <v>188</v>
      </c>
      <c r="J10" s="63">
        <f>2*I10/100</f>
        <v>3.76</v>
      </c>
      <c r="K10" s="10">
        <f>0.4*I10/100</f>
        <v>0.752</v>
      </c>
      <c r="L10" s="10">
        <f>16.3*I10/100</f>
        <v>30.644000000000002</v>
      </c>
      <c r="M10" s="55">
        <f>77*I10/100</f>
        <v>144.76</v>
      </c>
    </row>
    <row r="11" spans="1:13" ht="13.5" customHeight="1">
      <c r="A11" s="57" t="s">
        <v>17</v>
      </c>
      <c r="B11" s="8">
        <v>350</v>
      </c>
      <c r="C11" s="69">
        <v>280</v>
      </c>
      <c r="D11" s="63">
        <f>(1.4+1.8+1.3+1.5+0.7+1.1)*C11/600</f>
        <v>3.64</v>
      </c>
      <c r="E11" s="10">
        <f>(0.2+0.1+0.1+0.1+0.1+0.2)*C11/600</f>
        <v>0.37333333333333335</v>
      </c>
      <c r="F11" s="10">
        <f>(8.2+4.7+6.9+8.8+1.9+3.8)*C11/600</f>
        <v>16.006666666666668</v>
      </c>
      <c r="G11" s="55">
        <f>(41+28+35+42+11+24)*C11/600</f>
        <v>84.466666666666669</v>
      </c>
      <c r="H11" s="9">
        <v>400</v>
      </c>
      <c r="I11" s="69">
        <v>320</v>
      </c>
      <c r="J11" s="63">
        <f>(1.4+1.8+1.3+1.5+0.7+1.1)*I11/600</f>
        <v>4.16</v>
      </c>
      <c r="K11" s="10">
        <f>(0.2+0.1+0.1+0.1+0.1+0.2)*I11/600</f>
        <v>0.42666666666666669</v>
      </c>
      <c r="L11" s="10">
        <f>(8.2+4.7+6.9+8.8+1.9+3.8)*I11/600</f>
        <v>18.293333333333333</v>
      </c>
      <c r="M11" s="55">
        <f>(41+28+35+42+11+24)*I11/600</f>
        <v>96.533333333333331</v>
      </c>
    </row>
    <row r="12" spans="1:13" ht="13.5" customHeight="1">
      <c r="A12" s="57" t="s">
        <v>18</v>
      </c>
      <c r="B12" s="8">
        <v>200</v>
      </c>
      <c r="C12" s="69">
        <v>185</v>
      </c>
      <c r="D12" s="63">
        <f>(0.4+0.9+1.5)*C12/300</f>
        <v>1.7266666666666666</v>
      </c>
      <c r="E12" s="10">
        <f>(0.4+0.2+0.5)*C12/300</f>
        <v>0.67833333333333345</v>
      </c>
      <c r="F12" s="10">
        <f>(9.8+8.1+21)*C12/300</f>
        <v>23.988333333333333</v>
      </c>
      <c r="G12" s="55">
        <f>(47+43+96)*C12/300</f>
        <v>114.7</v>
      </c>
      <c r="H12" s="9">
        <v>200</v>
      </c>
      <c r="I12" s="69">
        <v>185</v>
      </c>
      <c r="J12" s="63">
        <f>(0.4+0.9+1.5)*I12/300</f>
        <v>1.7266666666666666</v>
      </c>
      <c r="K12" s="10">
        <f>(0.4+0.2+0.5)*I12/300</f>
        <v>0.67833333333333345</v>
      </c>
      <c r="L12" s="10">
        <f>(9.8+8.1+21)*I12/300</f>
        <v>23.988333333333333</v>
      </c>
      <c r="M12" s="55">
        <f>(47+43+96)*I12/300</f>
        <v>114.7</v>
      </c>
    </row>
    <row r="13" spans="1:13" ht="13.5" customHeight="1">
      <c r="A13" s="57" t="s">
        <v>19</v>
      </c>
      <c r="B13" s="8">
        <v>15</v>
      </c>
      <c r="C13" s="69">
        <v>15</v>
      </c>
      <c r="D13" s="63">
        <f>(2.3+5.2+2.3+3.4+2.2)*C13/500</f>
        <v>0.46200000000000008</v>
      </c>
      <c r="E13" s="10">
        <f>(0.5+0.3+0.7+1.4+0.1)*C13/500</f>
        <v>0.09</v>
      </c>
      <c r="F13" s="10">
        <f>(65.8+51+57.5+48.3+59)*C13/500</f>
        <v>8.4480000000000004</v>
      </c>
      <c r="G13" s="55">
        <f>(281+232+256+284+253)*C13/500</f>
        <v>39.18</v>
      </c>
      <c r="H13" s="9">
        <v>20</v>
      </c>
      <c r="I13" s="69">
        <v>20</v>
      </c>
      <c r="J13" s="63">
        <f>(2.3+5.2+2.3+3.4+2.2)*I13/500</f>
        <v>0.6160000000000001</v>
      </c>
      <c r="K13" s="10">
        <f>(0.5+0.3+0.7+1.4+0.1)*I13/500</f>
        <v>0.12</v>
      </c>
      <c r="L13" s="10">
        <f>(65.8+51+57.5+48.3+59)*I13/500</f>
        <v>11.263999999999999</v>
      </c>
      <c r="M13" s="55">
        <f>(281+232+256+284+253)*I13/500</f>
        <v>52.24</v>
      </c>
    </row>
    <row r="14" spans="1:13" ht="26.25" customHeight="1">
      <c r="A14" s="57" t="s">
        <v>20</v>
      </c>
      <c r="B14" s="8">
        <v>200</v>
      </c>
      <c r="C14" s="69">
        <v>200</v>
      </c>
      <c r="D14" s="63">
        <f>(0.7+0.5)*C14/200</f>
        <v>1.2</v>
      </c>
      <c r="E14" s="10">
        <f>(0.1+0.1)*C14/200</f>
        <v>0.2</v>
      </c>
      <c r="F14" s="10">
        <f>(13.2+10.1)*C14/200</f>
        <v>23.299999999999997</v>
      </c>
      <c r="G14" s="55">
        <f>(60+46)*C14/200</f>
        <v>106</v>
      </c>
      <c r="H14" s="9">
        <v>200</v>
      </c>
      <c r="I14" s="69">
        <v>200</v>
      </c>
      <c r="J14" s="63">
        <f>(0.7+0.5)*I14/200</f>
        <v>1.2</v>
      </c>
      <c r="K14" s="10">
        <f>(0.1+0.1)*I14/200</f>
        <v>0.2</v>
      </c>
      <c r="L14" s="10">
        <f>(13.2+10.1)*I14/200</f>
        <v>23.299999999999997</v>
      </c>
      <c r="M14" s="55">
        <f>(60+46)*I14/200</f>
        <v>106</v>
      </c>
    </row>
    <row r="15" spans="1:13" ht="13.5" customHeight="1">
      <c r="A15" s="57" t="s">
        <v>21</v>
      </c>
      <c r="B15" s="8">
        <v>77</v>
      </c>
      <c r="C15" s="69">
        <v>70</v>
      </c>
      <c r="D15" s="63">
        <f>18.6*C15/100</f>
        <v>13.02</v>
      </c>
      <c r="E15" s="10">
        <f>16*C15/100</f>
        <v>11.2</v>
      </c>
      <c r="F15" s="10">
        <f>0*C15/100</f>
        <v>0</v>
      </c>
      <c r="G15" s="55">
        <f>218*C15/100</f>
        <v>152.6</v>
      </c>
      <c r="H15" s="9">
        <v>86</v>
      </c>
      <c r="I15" s="69">
        <v>78</v>
      </c>
      <c r="J15" s="63">
        <f>18.6*I15/100</f>
        <v>14.508000000000003</v>
      </c>
      <c r="K15" s="10">
        <f>16*I15/100</f>
        <v>12.48</v>
      </c>
      <c r="L15" s="10">
        <f>0*I15/100</f>
        <v>0</v>
      </c>
      <c r="M15" s="55">
        <f>218*I15/100</f>
        <v>170.04</v>
      </c>
    </row>
    <row r="16" spans="1:13" ht="13.5" customHeight="1">
      <c r="A16" s="59" t="s">
        <v>22</v>
      </c>
      <c r="B16" s="8">
        <v>95</v>
      </c>
      <c r="C16" s="69">
        <v>70</v>
      </c>
      <c r="D16" s="63">
        <f>18.6*C16/100</f>
        <v>13.02</v>
      </c>
      <c r="E16" s="10">
        <f>16*C16/100</f>
        <v>11.2</v>
      </c>
      <c r="F16" s="10">
        <f>0*C16/100</f>
        <v>0</v>
      </c>
      <c r="G16" s="55">
        <f>218*C16/100</f>
        <v>152.6</v>
      </c>
      <c r="H16" s="9">
        <v>105</v>
      </c>
      <c r="I16" s="69">
        <v>78</v>
      </c>
      <c r="J16" s="63">
        <f>18.6*I16/100</f>
        <v>14.508000000000003</v>
      </c>
      <c r="K16" s="10">
        <f>16*I16/100</f>
        <v>12.48</v>
      </c>
      <c r="L16" s="10">
        <f>0*I16/100</f>
        <v>0</v>
      </c>
      <c r="M16" s="55">
        <f>218*I16/100</f>
        <v>170.04</v>
      </c>
    </row>
    <row r="17" spans="1:13" ht="13.5" customHeight="1">
      <c r="A17" s="57" t="s">
        <v>23</v>
      </c>
      <c r="B17" s="8">
        <v>40</v>
      </c>
      <c r="C17" s="69">
        <v>35</v>
      </c>
      <c r="D17" s="63">
        <f>18.7*C17/100</f>
        <v>6.5449999999999999</v>
      </c>
      <c r="E17" s="10">
        <f>16.1*C17/100</f>
        <v>5.6349999999999998</v>
      </c>
      <c r="F17" s="10">
        <f>0*C17/100</f>
        <v>0</v>
      </c>
      <c r="G17" s="55">
        <f>220*C17/100</f>
        <v>77</v>
      </c>
      <c r="H17" s="9">
        <v>60</v>
      </c>
      <c r="I17" s="69">
        <v>53</v>
      </c>
      <c r="J17" s="63">
        <f>18.7*I17/100</f>
        <v>9.9109999999999996</v>
      </c>
      <c r="K17" s="10">
        <f>16.1*I17/100</f>
        <v>8.5330000000000013</v>
      </c>
      <c r="L17" s="10">
        <f>0*I17/100</f>
        <v>0</v>
      </c>
      <c r="M17" s="55">
        <f>220*I17/100</f>
        <v>116.6</v>
      </c>
    </row>
    <row r="18" spans="1:13" ht="13.5" customHeight="1">
      <c r="A18" s="59" t="s">
        <v>24</v>
      </c>
      <c r="B18" s="8">
        <v>51</v>
      </c>
      <c r="C18" s="69">
        <v>35</v>
      </c>
      <c r="D18" s="63">
        <f>18.2*C18/100</f>
        <v>6.37</v>
      </c>
      <c r="E18" s="10">
        <f>18.4*C18/100</f>
        <v>6.44</v>
      </c>
      <c r="F18" s="10">
        <f>0*C18/100</f>
        <v>0</v>
      </c>
      <c r="G18" s="55">
        <f>238*C18/100</f>
        <v>83.3</v>
      </c>
      <c r="H18" s="9">
        <v>76</v>
      </c>
      <c r="I18" s="69">
        <v>53</v>
      </c>
      <c r="J18" s="63">
        <f>18.2*I18/100</f>
        <v>9.645999999999999</v>
      </c>
      <c r="K18" s="10">
        <f>18.4*I18/100</f>
        <v>9.7519999999999989</v>
      </c>
      <c r="L18" s="10">
        <f>0*I18/100</f>
        <v>0</v>
      </c>
      <c r="M18" s="55">
        <f>238*I18/100</f>
        <v>126.14</v>
      </c>
    </row>
    <row r="19" spans="1:13" ht="13.5" customHeight="1">
      <c r="A19" s="57" t="s">
        <v>25</v>
      </c>
      <c r="B19" s="8">
        <v>60</v>
      </c>
      <c r="C19" s="69">
        <v>58</v>
      </c>
      <c r="D19" s="63">
        <f>(15.9+17+16.6)*C19/300</f>
        <v>9.57</v>
      </c>
      <c r="E19" s="10">
        <f>(0.9+8.5+2.2)*C19/300</f>
        <v>2.242666666666667</v>
      </c>
      <c r="F19" s="10">
        <f>0*C19/100</f>
        <v>0</v>
      </c>
      <c r="G19" s="55">
        <f>(72+145+86)*C19/300</f>
        <v>58.58</v>
      </c>
      <c r="H19" s="9">
        <v>80</v>
      </c>
      <c r="I19" s="69">
        <v>77</v>
      </c>
      <c r="J19" s="63">
        <f>(15.9+17+16.6)*I19/300</f>
        <v>12.705</v>
      </c>
      <c r="K19" s="10">
        <f>(0.9+8.5+2.2)*I19/300</f>
        <v>2.9773333333333341</v>
      </c>
      <c r="L19" s="10">
        <f>0*I19/100</f>
        <v>0</v>
      </c>
      <c r="M19" s="55">
        <f>(72+145+86)*I19/300</f>
        <v>77.77</v>
      </c>
    </row>
    <row r="20" spans="1:13" s="6" customFormat="1" ht="13.5" customHeight="1">
      <c r="A20" s="57" t="s">
        <v>26</v>
      </c>
      <c r="B20" s="9">
        <v>15</v>
      </c>
      <c r="C20" s="69">
        <v>14.7</v>
      </c>
      <c r="D20" s="63">
        <f>12.8*C20/100</f>
        <v>1.8815999999999999</v>
      </c>
      <c r="E20" s="10">
        <f>22.2*C20/100</f>
        <v>3.2633999999999999</v>
      </c>
      <c r="F20" s="10">
        <f>1.5*C20/100</f>
        <v>0.22049999999999997</v>
      </c>
      <c r="G20" s="55">
        <f>257*C20/100</f>
        <v>37.778999999999996</v>
      </c>
      <c r="H20" s="9">
        <v>20</v>
      </c>
      <c r="I20" s="69">
        <v>19.600000000000001</v>
      </c>
      <c r="J20" s="63">
        <f>12.8*I20/100</f>
        <v>2.5088000000000004</v>
      </c>
      <c r="K20" s="10">
        <f>22.2*I20/100</f>
        <v>4.3512000000000004</v>
      </c>
      <c r="L20" s="10">
        <f>1.5*I20/100</f>
        <v>0.29400000000000004</v>
      </c>
      <c r="M20" s="55">
        <f>257*I20/100</f>
        <v>50.372000000000007</v>
      </c>
    </row>
    <row r="21" spans="1:13" s="6" customFormat="1" ht="13.5" customHeight="1">
      <c r="A21" s="57" t="s">
        <v>27</v>
      </c>
      <c r="B21" s="9">
        <v>300</v>
      </c>
      <c r="C21" s="69">
        <v>300</v>
      </c>
      <c r="D21" s="63">
        <f>2.9*C21/100</f>
        <v>8.6999999999999993</v>
      </c>
      <c r="E21" s="10">
        <f>2.5*C21/100</f>
        <v>7.5</v>
      </c>
      <c r="F21" s="10">
        <f>4.8*C21/100</f>
        <v>14.4</v>
      </c>
      <c r="G21" s="55">
        <f>54*C21/100</f>
        <v>162</v>
      </c>
      <c r="H21" s="9">
        <v>300</v>
      </c>
      <c r="I21" s="69">
        <v>300</v>
      </c>
      <c r="J21" s="63">
        <f>2.9*I21/100</f>
        <v>8.6999999999999993</v>
      </c>
      <c r="K21" s="10">
        <f>2.5*I21/100</f>
        <v>7.5</v>
      </c>
      <c r="L21" s="10">
        <f>4.8*I21/100</f>
        <v>14.4</v>
      </c>
      <c r="M21" s="55">
        <f>54*I21/100</f>
        <v>162</v>
      </c>
    </row>
    <row r="22" spans="1:13" s="6" customFormat="1" ht="13.5" customHeight="1">
      <c r="A22" s="57" t="s">
        <v>28</v>
      </c>
      <c r="B22" s="9">
        <v>300</v>
      </c>
      <c r="C22" s="69">
        <v>300</v>
      </c>
      <c r="D22" s="63">
        <f>2.9*C22/100</f>
        <v>8.6999999999999993</v>
      </c>
      <c r="E22" s="10">
        <f>3.2*C22/100</f>
        <v>9.6</v>
      </c>
      <c r="F22" s="10">
        <f>4.7*C22/100</f>
        <v>14.1</v>
      </c>
      <c r="G22" s="55">
        <f>60*C22/100</f>
        <v>180</v>
      </c>
      <c r="H22" s="9">
        <v>300</v>
      </c>
      <c r="I22" s="69">
        <v>300</v>
      </c>
      <c r="J22" s="63">
        <f>2.9*I22/100</f>
        <v>8.6999999999999993</v>
      </c>
      <c r="K22" s="10">
        <f>3.2*I22/100</f>
        <v>9.6</v>
      </c>
      <c r="L22" s="10">
        <f>4.7*I22/100</f>
        <v>14.1</v>
      </c>
      <c r="M22" s="55">
        <f>60*I22/100</f>
        <v>180</v>
      </c>
    </row>
    <row r="23" spans="1:13" s="6" customFormat="1" ht="13.5" customHeight="1">
      <c r="A23" s="57" t="s">
        <v>29</v>
      </c>
      <c r="B23" s="9">
        <v>150</v>
      </c>
      <c r="C23" s="69">
        <v>150</v>
      </c>
      <c r="D23" s="63">
        <f>2.7*C23/100</f>
        <v>4.05</v>
      </c>
      <c r="E23" s="10">
        <f>2.5*D23/100</f>
        <v>0.10125000000000001</v>
      </c>
      <c r="F23" s="10">
        <f>10.8*C23/100</f>
        <v>16.2</v>
      </c>
      <c r="G23" s="55">
        <f>79*C23/100</f>
        <v>118.5</v>
      </c>
      <c r="H23" s="9">
        <v>180</v>
      </c>
      <c r="I23" s="69">
        <v>180</v>
      </c>
      <c r="J23" s="63">
        <f>2.7*I23/100</f>
        <v>4.8600000000000003</v>
      </c>
      <c r="K23" s="10">
        <f>2.5*J23/100</f>
        <v>0.1215</v>
      </c>
      <c r="L23" s="10">
        <f>10.8*I23/100</f>
        <v>19.440000000000001</v>
      </c>
      <c r="M23" s="55">
        <f>79*I23/100</f>
        <v>142.19999999999999</v>
      </c>
    </row>
    <row r="24" spans="1:13" s="6" customFormat="1" ht="13.5" customHeight="1">
      <c r="A24" s="57" t="s">
        <v>30</v>
      </c>
      <c r="B24" s="9">
        <v>150</v>
      </c>
      <c r="C24" s="69">
        <v>150</v>
      </c>
      <c r="D24" s="63">
        <f>2.9*C24/100</f>
        <v>4.3499999999999996</v>
      </c>
      <c r="E24" s="10">
        <f>3.2*C24/100</f>
        <v>4.8</v>
      </c>
      <c r="F24" s="10">
        <f>4*C24/100</f>
        <v>6</v>
      </c>
      <c r="G24" s="55">
        <f>59*C24/100</f>
        <v>88.5</v>
      </c>
      <c r="H24" s="9">
        <v>180</v>
      </c>
      <c r="I24" s="69">
        <v>180</v>
      </c>
      <c r="J24" s="63">
        <f>2.9*I24/100</f>
        <v>5.22</v>
      </c>
      <c r="K24" s="10">
        <f>3.2*I24/100</f>
        <v>5.76</v>
      </c>
      <c r="L24" s="10">
        <f>4*I24/100</f>
        <v>7.2</v>
      </c>
      <c r="M24" s="55">
        <f>59*I24/100</f>
        <v>106.2</v>
      </c>
    </row>
    <row r="25" spans="1:13" s="6" customFormat="1" ht="13.5" customHeight="1">
      <c r="A25" s="57" t="s">
        <v>31</v>
      </c>
      <c r="B25" s="9">
        <v>50</v>
      </c>
      <c r="C25" s="69">
        <v>50</v>
      </c>
      <c r="D25" s="63">
        <f>18*C25/100</f>
        <v>9</v>
      </c>
      <c r="E25" s="10">
        <f>9*C25/100</f>
        <v>4.5</v>
      </c>
      <c r="F25" s="10">
        <f>3*C25/100</f>
        <v>1.5</v>
      </c>
      <c r="G25" s="55">
        <f>169*C25/100</f>
        <v>84.5</v>
      </c>
      <c r="H25" s="9">
        <v>60</v>
      </c>
      <c r="I25" s="69">
        <v>60</v>
      </c>
      <c r="J25" s="63">
        <f>18*I25/100</f>
        <v>10.8</v>
      </c>
      <c r="K25" s="10">
        <f>9*I25/100</f>
        <v>5.4</v>
      </c>
      <c r="L25" s="10">
        <f>3*I25/100</f>
        <v>1.8</v>
      </c>
      <c r="M25" s="55">
        <f>169*I25/100</f>
        <v>101.4</v>
      </c>
    </row>
    <row r="26" spans="1:13" s="6" customFormat="1" ht="13.5" customHeight="1">
      <c r="A26" s="57" t="s">
        <v>32</v>
      </c>
      <c r="B26" s="9">
        <v>10</v>
      </c>
      <c r="C26" s="69">
        <v>9.8000000000000007</v>
      </c>
      <c r="D26" s="63">
        <f>26.3*C26/100</f>
        <v>2.5773999999999999</v>
      </c>
      <c r="E26" s="10">
        <f>26.6*C26/100</f>
        <v>2.6068000000000002</v>
      </c>
      <c r="F26" s="10">
        <f>0*C26/100</f>
        <v>0</v>
      </c>
      <c r="G26" s="55">
        <f>350*C26/100</f>
        <v>34.300000000000004</v>
      </c>
      <c r="H26" s="9">
        <v>12</v>
      </c>
      <c r="I26" s="69">
        <v>11.8</v>
      </c>
      <c r="J26" s="63">
        <f>26.3*I26/100</f>
        <v>3.1034000000000002</v>
      </c>
      <c r="K26" s="10">
        <f>26.6*I26/100</f>
        <v>3.1388000000000007</v>
      </c>
      <c r="L26" s="10">
        <f>0*I26/100</f>
        <v>0</v>
      </c>
      <c r="M26" s="55">
        <f>350*I26/100</f>
        <v>41.3</v>
      </c>
    </row>
    <row r="27" spans="1:13" s="6" customFormat="1" ht="13.5" customHeight="1">
      <c r="A27" s="57" t="s">
        <v>33</v>
      </c>
      <c r="B27" s="9">
        <v>10</v>
      </c>
      <c r="C27" s="69">
        <v>10</v>
      </c>
      <c r="D27" s="63">
        <f>2.6*C27/100</f>
        <v>0.26</v>
      </c>
      <c r="E27" s="10">
        <f>15*C27/100</f>
        <v>1.5</v>
      </c>
      <c r="F27" s="10">
        <f>3.6*C27/100</f>
        <v>0.36</v>
      </c>
      <c r="G27" s="55">
        <f>162*C27/100</f>
        <v>16.2</v>
      </c>
      <c r="H27" s="9">
        <v>10</v>
      </c>
      <c r="I27" s="69">
        <v>10</v>
      </c>
      <c r="J27" s="63">
        <f>2.6*I27/100</f>
        <v>0.26</v>
      </c>
      <c r="K27" s="10">
        <f>15*I27/100</f>
        <v>1.5</v>
      </c>
      <c r="L27" s="10">
        <f>3.6*I27/100</f>
        <v>0.36</v>
      </c>
      <c r="M27" s="55">
        <f>162*I27/100</f>
        <v>16.2</v>
      </c>
    </row>
    <row r="28" spans="1:13" s="6" customFormat="1" ht="13.5" customHeight="1">
      <c r="A28" s="57" t="s">
        <v>34</v>
      </c>
      <c r="B28" s="9">
        <v>30</v>
      </c>
      <c r="C28" s="69">
        <v>30</v>
      </c>
      <c r="D28" s="63">
        <f>0.5*C28/100</f>
        <v>0.15</v>
      </c>
      <c r="E28" s="10">
        <f>82.5*C28/100</f>
        <v>24.75</v>
      </c>
      <c r="F28" s="10">
        <f>0.8*C28/100</f>
        <v>0.24</v>
      </c>
      <c r="G28" s="55">
        <f>748*C28/100</f>
        <v>224.4</v>
      </c>
      <c r="H28" s="9">
        <v>35</v>
      </c>
      <c r="I28" s="69">
        <v>35</v>
      </c>
      <c r="J28" s="63">
        <f>0.5*I28/100</f>
        <v>0.17499999999999999</v>
      </c>
      <c r="K28" s="10">
        <f>82.5*I28/100</f>
        <v>28.875</v>
      </c>
      <c r="L28" s="10">
        <f>0.8*I28/100</f>
        <v>0.28000000000000003</v>
      </c>
      <c r="M28" s="55">
        <f>748*I28/100</f>
        <v>261.8</v>
      </c>
    </row>
    <row r="29" spans="1:13" s="6" customFormat="1" ht="13.5" customHeight="1">
      <c r="A29" s="57" t="s">
        <v>35</v>
      </c>
      <c r="B29" s="9">
        <v>15</v>
      </c>
      <c r="C29" s="69">
        <v>15</v>
      </c>
      <c r="D29" s="63">
        <f>0*C29/100</f>
        <v>0</v>
      </c>
      <c r="E29" s="10">
        <f>99.9*C29/100</f>
        <v>14.984999999999999</v>
      </c>
      <c r="F29" s="10">
        <f>0*C29/100</f>
        <v>0</v>
      </c>
      <c r="G29" s="55">
        <f>899*C29/100</f>
        <v>134.85</v>
      </c>
      <c r="H29" s="9">
        <v>18</v>
      </c>
      <c r="I29" s="69">
        <v>18</v>
      </c>
      <c r="J29" s="63">
        <f>0*I29/100</f>
        <v>0</v>
      </c>
      <c r="K29" s="10">
        <f>99.9*I29/100</f>
        <v>17.981999999999999</v>
      </c>
      <c r="L29" s="10">
        <f>0*I29/100</f>
        <v>0</v>
      </c>
      <c r="M29" s="55">
        <f>899*I29/100</f>
        <v>161.82</v>
      </c>
    </row>
    <row r="30" spans="1:13" s="6" customFormat="1" ht="13.5" customHeight="1">
      <c r="A30" s="57" t="s">
        <v>36</v>
      </c>
      <c r="B30" s="9">
        <v>1</v>
      </c>
      <c r="C30" s="69">
        <v>40</v>
      </c>
      <c r="D30" s="63">
        <f>12.7*C30/100</f>
        <v>5.08</v>
      </c>
      <c r="E30" s="10">
        <f>11.5*C30/100</f>
        <v>4.5999999999999996</v>
      </c>
      <c r="F30" s="10">
        <f>0.7*C30/100</f>
        <v>0.28000000000000003</v>
      </c>
      <c r="G30" s="55">
        <f>157*C30/100</f>
        <v>62.8</v>
      </c>
      <c r="H30" s="9">
        <v>1</v>
      </c>
      <c r="I30" s="69">
        <v>40</v>
      </c>
      <c r="J30" s="63">
        <f>12.7*I30/100</f>
        <v>5.08</v>
      </c>
      <c r="K30" s="10">
        <f>11.5*I30/100</f>
        <v>4.5999999999999996</v>
      </c>
      <c r="L30" s="10">
        <f>0.7*I30/100</f>
        <v>0.28000000000000003</v>
      </c>
      <c r="M30" s="55">
        <f>157*I30/100</f>
        <v>62.8</v>
      </c>
    </row>
    <row r="31" spans="1:13" s="6" customFormat="1" ht="13.5" customHeight="1">
      <c r="A31" s="57" t="s">
        <v>37</v>
      </c>
      <c r="B31" s="9">
        <v>40</v>
      </c>
      <c r="C31" s="69">
        <v>40</v>
      </c>
      <c r="D31" s="63">
        <f>0*C31/100</f>
        <v>0</v>
      </c>
      <c r="E31" s="10">
        <f>0*C31/100</f>
        <v>0</v>
      </c>
      <c r="F31" s="10">
        <f>99.8*C31/100</f>
        <v>39.92</v>
      </c>
      <c r="G31" s="55">
        <f>399*C31/100</f>
        <v>159.6</v>
      </c>
      <c r="H31" s="9">
        <v>45</v>
      </c>
      <c r="I31" s="69">
        <v>45</v>
      </c>
      <c r="J31" s="63">
        <f>0*I31/100</f>
        <v>0</v>
      </c>
      <c r="K31" s="10">
        <f>0*I31/100</f>
        <v>0</v>
      </c>
      <c r="L31" s="10">
        <f>99.8*I31/100</f>
        <v>44.91</v>
      </c>
      <c r="M31" s="55">
        <f>399*I31/100</f>
        <v>179.55</v>
      </c>
    </row>
    <row r="32" spans="1:13" s="6" customFormat="1" ht="13.5" customHeight="1">
      <c r="A32" s="57" t="s">
        <v>38</v>
      </c>
      <c r="B32" s="9">
        <v>10</v>
      </c>
      <c r="C32" s="69">
        <v>10</v>
      </c>
      <c r="D32" s="63">
        <f>(0.1+0.1+1.5+3.9+10.7+6.4+5.9)*C32/700</f>
        <v>0.40857142857142847</v>
      </c>
      <c r="E32" s="10">
        <f>(0.1+0+7.2+30.6+1.2+16.8+4.7)*C32/700</f>
        <v>0.86571428571428588</v>
      </c>
      <c r="F32" s="10">
        <f>(92.4+79.4+81.8+62.5+71.2+68.5+75)*C32/700</f>
        <v>7.5828571428571427</v>
      </c>
      <c r="G32" s="55">
        <f>(371+321+399+542+339+451+366)*C32/700</f>
        <v>39.842857142857142</v>
      </c>
      <c r="H32" s="9">
        <v>15</v>
      </c>
      <c r="I32" s="69">
        <v>15</v>
      </c>
      <c r="J32" s="63">
        <f>(0.1+0.1+1.5+3.9+10.7+6.4+5.9)*I32/700</f>
        <v>0.61285714285714266</v>
      </c>
      <c r="K32" s="10">
        <f>(0.1+0+7.2+30.6+1.2+16.8+4.7)*I32/700</f>
        <v>1.2985714285714287</v>
      </c>
      <c r="L32" s="10">
        <f>(92.4+79.4+81.8+62.5+71.2+68.5+75)*I32/700</f>
        <v>11.374285714285714</v>
      </c>
      <c r="M32" s="55">
        <f>(371+321+399+542+339+451+366)*I32/700</f>
        <v>59.764285714285712</v>
      </c>
    </row>
    <row r="33" spans="1:13" ht="13.5" customHeight="1">
      <c r="A33" s="57" t="s">
        <v>39</v>
      </c>
      <c r="B33" s="8">
        <v>0.4</v>
      </c>
      <c r="C33" s="69">
        <v>0.4</v>
      </c>
      <c r="D33" s="63">
        <f>0.1*C33/100</f>
        <v>4.0000000000000007E-4</v>
      </c>
      <c r="E33" s="10">
        <f>0*C33/100</f>
        <v>0</v>
      </c>
      <c r="F33" s="10">
        <f>0*C33/100</f>
        <v>0</v>
      </c>
      <c r="G33" s="55">
        <f>0*C33/100</f>
        <v>0</v>
      </c>
      <c r="H33" s="9">
        <v>0.4</v>
      </c>
      <c r="I33" s="69">
        <v>0.4</v>
      </c>
      <c r="J33" s="63">
        <f>0.1*I33/100</f>
        <v>4.0000000000000007E-4</v>
      </c>
      <c r="K33" s="10">
        <f>0*I33/100</f>
        <v>0</v>
      </c>
      <c r="L33" s="10">
        <f>0*I33/100</f>
        <v>0</v>
      </c>
      <c r="M33" s="55">
        <f>0*I33/100</f>
        <v>0</v>
      </c>
    </row>
    <row r="34" spans="1:13" ht="13.5" customHeight="1">
      <c r="A34" s="57" t="s">
        <v>40</v>
      </c>
      <c r="B34" s="8">
        <v>1.2</v>
      </c>
      <c r="C34" s="69">
        <v>1.2</v>
      </c>
      <c r="D34" s="63">
        <f>24.3*C34/100</f>
        <v>0.29160000000000003</v>
      </c>
      <c r="E34" s="10">
        <f>15*C34/100</f>
        <v>0.18</v>
      </c>
      <c r="F34" s="10">
        <f>10.2*C34/100</f>
        <v>0.12239999999999998</v>
      </c>
      <c r="G34" s="55">
        <f>289*C34/100</f>
        <v>3.468</v>
      </c>
      <c r="H34" s="9">
        <v>1.2</v>
      </c>
      <c r="I34" s="69">
        <v>1.2</v>
      </c>
      <c r="J34" s="63">
        <f>24.3*I34/100</f>
        <v>0.29160000000000003</v>
      </c>
      <c r="K34" s="10">
        <f>15*I34/100</f>
        <v>0.18</v>
      </c>
      <c r="L34" s="10">
        <f>10.2*I34/100</f>
        <v>0.12239999999999998</v>
      </c>
      <c r="M34" s="55">
        <f>289*I34/100</f>
        <v>3.468</v>
      </c>
    </row>
    <row r="35" spans="1:13" s="6" customFormat="1" ht="13.5" customHeight="1">
      <c r="A35" s="58" t="s">
        <v>41</v>
      </c>
      <c r="B35" s="51">
        <v>1</v>
      </c>
      <c r="C35" s="70">
        <v>1</v>
      </c>
      <c r="D35" s="65">
        <f>12.7*C35/100</f>
        <v>0.127</v>
      </c>
      <c r="E35" s="50">
        <f>2.7*C35/100</f>
        <v>2.7000000000000003E-2</v>
      </c>
      <c r="F35" s="50">
        <f>8.5*C35/100</f>
        <v>8.5000000000000006E-2</v>
      </c>
      <c r="G35" s="61">
        <f>109*C35/100</f>
        <v>1.0900000000000001</v>
      </c>
      <c r="H35" s="51">
        <v>2</v>
      </c>
      <c r="I35" s="70">
        <v>2</v>
      </c>
      <c r="J35" s="65">
        <f>12.7*I35/100</f>
        <v>0.254</v>
      </c>
      <c r="K35" s="50">
        <f>2.7*I35/100</f>
        <v>5.4000000000000006E-2</v>
      </c>
      <c r="L35" s="50">
        <f>8.5*I35/100</f>
        <v>0.17</v>
      </c>
      <c r="M35" s="61">
        <f>109*I35/100</f>
        <v>2.1800000000000002</v>
      </c>
    </row>
    <row r="36" spans="1:13" s="6" customFormat="1" ht="13.5" customHeight="1" thickBot="1">
      <c r="A36" s="21" t="s">
        <v>42</v>
      </c>
      <c r="B36" s="53">
        <v>5</v>
      </c>
      <c r="C36" s="71">
        <v>5</v>
      </c>
      <c r="D36" s="66">
        <v>0</v>
      </c>
      <c r="E36" s="52">
        <v>0</v>
      </c>
      <c r="F36" s="52">
        <v>0</v>
      </c>
      <c r="G36" s="56">
        <v>0</v>
      </c>
      <c r="H36" s="53">
        <v>7</v>
      </c>
      <c r="I36" s="71">
        <v>7</v>
      </c>
      <c r="J36" s="66">
        <v>0</v>
      </c>
      <c r="K36" s="52">
        <v>0</v>
      </c>
      <c r="L36" s="52">
        <v>0</v>
      </c>
      <c r="M36" s="56">
        <v>0</v>
      </c>
    </row>
    <row r="37" spans="1:13" ht="12.75" customHeight="1" thickBot="1">
      <c r="A37" s="182" t="s">
        <v>43</v>
      </c>
      <c r="B37" s="183"/>
      <c r="C37" s="183"/>
      <c r="D37" s="183"/>
      <c r="E37" s="183"/>
      <c r="F37" s="183"/>
      <c r="G37" s="183"/>
      <c r="H37" s="183"/>
      <c r="I37" s="44"/>
      <c r="J37" s="45"/>
      <c r="K37" s="1"/>
      <c r="L37" s="1"/>
      <c r="M37" s="1"/>
    </row>
    <row r="38" spans="1:13" ht="13.5" customHeight="1">
      <c r="A38" s="11" t="s">
        <v>44</v>
      </c>
      <c r="B38" s="36">
        <f>SUM(D5:D14,D16:D17,D19:D20,D22,D24:D36)</f>
        <v>96.222738095238114</v>
      </c>
      <c r="C38" s="15" t="s">
        <v>45</v>
      </c>
      <c r="D38" s="15"/>
      <c r="E38" s="15"/>
      <c r="F38" s="43">
        <f>SUM(D16,D17,D19:D20,D22,D24:D28,D30)</f>
        <v>61.133999999999993</v>
      </c>
      <c r="G38" s="16" t="s">
        <v>46</v>
      </c>
      <c r="H38" s="36">
        <f>SUM(J5:J14,J16:J17,J19:J20,J22,J24:J36)</f>
        <v>116.4577238095238</v>
      </c>
      <c r="I38" s="15" t="s">
        <v>45</v>
      </c>
      <c r="J38" s="15"/>
      <c r="K38" s="15"/>
      <c r="L38" s="43">
        <f>SUM(J16,J17,J19:J20,J22,J24:J28,J30)</f>
        <v>72.971199999999996</v>
      </c>
      <c r="M38" s="16" t="s">
        <v>46</v>
      </c>
    </row>
    <row r="39" spans="1:13" ht="13.5" customHeight="1">
      <c r="A39" s="12" t="s">
        <v>47</v>
      </c>
      <c r="B39" s="46">
        <f>SUM(E5:E14,E16:E17,E19:E20,E22,E24:E36)</f>
        <v>96.791747619047626</v>
      </c>
      <c r="C39" s="14" t="s">
        <v>48</v>
      </c>
      <c r="D39" s="14"/>
      <c r="E39" s="14"/>
      <c r="F39" s="47">
        <f>SUM(E5:E14,E29,E31:E36)</f>
        <v>22.093880952380953</v>
      </c>
      <c r="G39" s="17" t="s">
        <v>49</v>
      </c>
      <c r="H39" s="46">
        <f>SUM(K5:K14,K16:K17,K19:K20,K22,K24:K36)</f>
        <v>113.95190476190477</v>
      </c>
      <c r="I39" s="14" t="s">
        <v>48</v>
      </c>
      <c r="J39" s="14"/>
      <c r="K39" s="14"/>
      <c r="L39" s="47">
        <f>SUM(K5:K14,K29,K31:K36)</f>
        <v>26.736571428571427</v>
      </c>
      <c r="M39" s="17" t="s">
        <v>49</v>
      </c>
    </row>
    <row r="40" spans="1:13" ht="13.5" customHeight="1">
      <c r="A40" s="12" t="s">
        <v>50</v>
      </c>
      <c r="B40" s="46">
        <f>SUM(F5:F14,F16:F17,F19:F20,F22,F24:F36)</f>
        <v>332.68025714285722</v>
      </c>
      <c r="C40" s="14" t="s">
        <v>49</v>
      </c>
      <c r="D40" s="14"/>
      <c r="E40" s="14"/>
      <c r="F40" s="14"/>
      <c r="G40" s="17"/>
      <c r="H40" s="46">
        <f>SUM(L5:L14,L16:L17,L19:L20,L22,L24:L36)</f>
        <v>401.04535238095235</v>
      </c>
      <c r="I40" s="14" t="s">
        <v>49</v>
      </c>
      <c r="J40" s="14"/>
      <c r="K40" s="14"/>
      <c r="L40" s="14"/>
      <c r="M40" s="17"/>
    </row>
    <row r="41" spans="1:13" ht="13.5" customHeight="1" thickBot="1">
      <c r="A41" s="21" t="s">
        <v>51</v>
      </c>
      <c r="B41" s="96">
        <f>SUM(G5:G15,G19:G20,G25:G36,G43:G45)</f>
        <v>2625.2540238095239</v>
      </c>
      <c r="C41" s="22" t="s">
        <v>52</v>
      </c>
      <c r="D41" s="22"/>
      <c r="E41" s="22"/>
      <c r="F41" s="22"/>
      <c r="G41" s="23"/>
      <c r="H41" s="96">
        <f>SUM(M5:M14,M16:M17,M19:M20,M22,M24:M36)</f>
        <v>3128.7726190476192</v>
      </c>
      <c r="I41" s="22" t="s">
        <v>52</v>
      </c>
      <c r="J41" s="22"/>
      <c r="K41" s="22"/>
      <c r="L41" s="22"/>
      <c r="M41" s="23"/>
    </row>
    <row r="42" spans="1:13" ht="14.25">
      <c r="A42" s="5"/>
      <c r="B42" s="1"/>
      <c r="C42" s="1"/>
      <c r="D42" s="1"/>
    </row>
    <row r="43" spans="1:13" ht="14.25" hidden="1">
      <c r="A43" s="5" t="s">
        <v>53</v>
      </c>
      <c r="C43" s="1"/>
      <c r="D43" s="95">
        <f>AVERAGE(D17,D18)</f>
        <v>6.4574999999999996</v>
      </c>
      <c r="E43" s="95">
        <f>AVERAGE(E17,E18)</f>
        <v>6.0374999999999996</v>
      </c>
      <c r="F43" s="95">
        <f>AVERAGE(F17,F18)</f>
        <v>0</v>
      </c>
      <c r="G43" s="95">
        <f>AVERAGE(G17,G18)</f>
        <v>80.150000000000006</v>
      </c>
      <c r="J43" s="95">
        <f>AVERAGE(J17,J18)</f>
        <v>9.7784999999999993</v>
      </c>
      <c r="K43" s="95">
        <f>AVERAGE(K17,K18)</f>
        <v>9.1425000000000001</v>
      </c>
      <c r="L43" s="95">
        <f>AVERAGE(L17,L18)</f>
        <v>0</v>
      </c>
      <c r="M43" s="95">
        <f>AVERAGE(M17,M18)</f>
        <v>121.37</v>
      </c>
    </row>
    <row r="44" spans="1:13" ht="14.25" hidden="1">
      <c r="A44" s="5" t="s">
        <v>54</v>
      </c>
      <c r="B44" s="1"/>
      <c r="C44" s="1"/>
      <c r="D44" s="95">
        <f>AVERAGE(D21,D22)</f>
        <v>8.6999999999999993</v>
      </c>
      <c r="E44" s="95">
        <f t="shared" ref="E44:M44" si="0">AVERAGE(E21,E22)</f>
        <v>8.5500000000000007</v>
      </c>
      <c r="F44" s="95">
        <f t="shared" si="0"/>
        <v>14.25</v>
      </c>
      <c r="G44" s="95">
        <f t="shared" si="0"/>
        <v>171</v>
      </c>
      <c r="H44" s="95"/>
      <c r="I44" s="95"/>
      <c r="J44" s="95">
        <f t="shared" si="0"/>
        <v>8.6999999999999993</v>
      </c>
      <c r="K44" s="95">
        <f t="shared" si="0"/>
        <v>8.5500000000000007</v>
      </c>
      <c r="L44" s="95">
        <f t="shared" si="0"/>
        <v>14.25</v>
      </c>
      <c r="M44" s="95">
        <f t="shared" si="0"/>
        <v>171</v>
      </c>
    </row>
    <row r="45" spans="1:13" ht="14.25" hidden="1">
      <c r="A45" s="5" t="s">
        <v>55</v>
      </c>
      <c r="B45" s="1"/>
      <c r="C45" s="1"/>
      <c r="D45" s="95">
        <f>AVERAGE(D23,D24)</f>
        <v>4.1999999999999993</v>
      </c>
      <c r="E45" s="95">
        <f t="shared" ref="E45:M45" si="1">AVERAGE(E23,E24)</f>
        <v>2.4506250000000001</v>
      </c>
      <c r="F45" s="95">
        <f t="shared" si="1"/>
        <v>11.1</v>
      </c>
      <c r="G45" s="95">
        <f t="shared" si="1"/>
        <v>103.5</v>
      </c>
      <c r="H45" s="95"/>
      <c r="I45" s="95"/>
      <c r="J45" s="95">
        <f t="shared" si="1"/>
        <v>5.04</v>
      </c>
      <c r="K45" s="95">
        <f t="shared" si="1"/>
        <v>2.94075</v>
      </c>
      <c r="L45" s="95">
        <f t="shared" si="1"/>
        <v>13.32</v>
      </c>
      <c r="M45" s="95">
        <f t="shared" si="1"/>
        <v>124.19999999999999</v>
      </c>
    </row>
    <row r="46" spans="1:13" ht="14.25">
      <c r="A46" s="5"/>
      <c r="B46" s="1"/>
      <c r="C46" s="1"/>
      <c r="D46" s="1"/>
    </row>
    <row r="47" spans="1:13" ht="14.25">
      <c r="A47" s="5"/>
      <c r="B47" s="1"/>
      <c r="C47" s="1"/>
      <c r="D47" s="1"/>
    </row>
    <row r="48" spans="1:13" ht="14.25">
      <c r="A48" s="5"/>
      <c r="B48" s="1"/>
      <c r="C48" s="1"/>
      <c r="D48" s="1"/>
    </row>
    <row r="49" spans="1:4" ht="14.25">
      <c r="A49" s="5"/>
      <c r="B49" s="1"/>
      <c r="C49" s="1"/>
      <c r="D49" s="1"/>
    </row>
    <row r="50" spans="1:4" ht="14.25">
      <c r="A50" s="5"/>
      <c r="B50" s="1"/>
      <c r="C50" s="1"/>
      <c r="D50" s="1"/>
    </row>
    <row r="51" spans="1:4" ht="14.25">
      <c r="A51" s="5"/>
      <c r="B51" s="1"/>
      <c r="C51" s="1"/>
      <c r="D51" s="1"/>
    </row>
    <row r="52" spans="1:4" ht="14.25">
      <c r="A52" s="5"/>
      <c r="B52" s="1"/>
      <c r="C52" s="1"/>
      <c r="D52" s="1"/>
    </row>
    <row r="53" spans="1:4" ht="14.25">
      <c r="A53" s="5"/>
      <c r="B53" s="1"/>
      <c r="C53" s="1"/>
      <c r="D53" s="1"/>
    </row>
    <row r="54" spans="1:4" ht="14.25">
      <c r="A54" s="5"/>
      <c r="B54" s="1"/>
      <c r="C54" s="1"/>
      <c r="D54" s="1"/>
    </row>
    <row r="55" spans="1:4" ht="14.25">
      <c r="A55" s="5"/>
      <c r="B55" s="1"/>
      <c r="C55" s="1"/>
      <c r="D55" s="1"/>
    </row>
    <row r="56" spans="1:4" ht="14.25">
      <c r="A56" s="5"/>
      <c r="B56" s="1"/>
      <c r="C56" s="1"/>
      <c r="D56" s="1"/>
    </row>
    <row r="57" spans="1:4" ht="14.25">
      <c r="A57" s="5"/>
      <c r="B57" s="1"/>
      <c r="C57" s="1"/>
      <c r="D57" s="1"/>
    </row>
    <row r="58" spans="1:4" ht="14.25">
      <c r="A58" s="5"/>
      <c r="B58" s="1"/>
      <c r="C58" s="1"/>
      <c r="D58" s="1"/>
    </row>
    <row r="59" spans="1:4" ht="14.25">
      <c r="A59" s="5"/>
      <c r="B59" s="1"/>
      <c r="C59" s="1"/>
      <c r="D59" s="1"/>
    </row>
    <row r="60" spans="1:4" ht="14.25">
      <c r="A60" s="5"/>
      <c r="B60" s="1"/>
      <c r="C60" s="1"/>
      <c r="D60" s="1"/>
    </row>
    <row r="61" spans="1:4" ht="14.25">
      <c r="A61" s="5"/>
      <c r="B61" s="1"/>
      <c r="C61" s="1"/>
      <c r="D61" s="1"/>
    </row>
    <row r="62" spans="1:4" ht="14.25">
      <c r="A62" s="5"/>
      <c r="B62" s="1"/>
      <c r="C62" s="1"/>
      <c r="D62" s="1"/>
    </row>
    <row r="63" spans="1:4" ht="14.25">
      <c r="A63" s="5"/>
      <c r="B63" s="1"/>
      <c r="C63" s="1"/>
      <c r="D63" s="1"/>
    </row>
    <row r="64" spans="1:4" ht="14.25">
      <c r="A64" s="5"/>
      <c r="B64" s="1"/>
      <c r="C64" s="1"/>
      <c r="D64" s="1"/>
    </row>
    <row r="65" spans="1:4" ht="14.25">
      <c r="A65" s="5"/>
      <c r="B65" s="1"/>
      <c r="C65" s="1"/>
      <c r="D65" s="1"/>
    </row>
    <row r="66" spans="1:4" ht="14.25">
      <c r="A66" s="5"/>
      <c r="B66" s="1"/>
      <c r="C66" s="1"/>
      <c r="D66" s="1"/>
    </row>
    <row r="67" spans="1:4" ht="14.25">
      <c r="A67" s="5"/>
      <c r="B67" s="1"/>
      <c r="C67" s="1"/>
      <c r="D67" s="1"/>
    </row>
    <row r="68" spans="1:4" ht="14.25">
      <c r="A68" s="5"/>
      <c r="B68" s="1"/>
      <c r="C68" s="1"/>
      <c r="D68" s="1"/>
    </row>
    <row r="69" spans="1:4" ht="14.25">
      <c r="A69" s="5"/>
      <c r="B69" s="1"/>
      <c r="C69" s="1"/>
      <c r="D69" s="1"/>
    </row>
    <row r="70" spans="1:4" ht="14.25">
      <c r="A70" s="5"/>
      <c r="B70" s="1"/>
      <c r="C70" s="1"/>
      <c r="D70" s="1"/>
    </row>
    <row r="71" spans="1:4">
      <c r="A71" s="4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</sheetData>
  <sheetProtection password="CA75" sheet="1"/>
  <mergeCells count="6">
    <mergeCell ref="A37:H37"/>
    <mergeCell ref="A3:A4"/>
    <mergeCell ref="B3:G3"/>
    <mergeCell ref="H3:M3"/>
    <mergeCell ref="A1:M1"/>
    <mergeCell ref="A2:M2"/>
  </mergeCells>
  <phoneticPr fontId="0" type="noConversion"/>
  <pageMargins left="0.39370078740157483" right="0.39370078740157483" top="0.23" bottom="0.16" header="0" footer="0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3" topLeftCell="B4" activePane="bottomRight" state="frozenSplit"/>
      <selection sqref="A1:Y1"/>
      <selection pane="topRight" sqref="A1:Y1"/>
      <selection pane="bottomLeft" sqref="A1:Y1"/>
      <selection pane="bottomRight" activeCell="E38" sqref="E38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4" t="s">
        <v>57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198" t="str">
        <f>B1</f>
        <v>(УЧРЕЖДЕНИЯ)</v>
      </c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200"/>
      <c r="AD1" s="201" t="str">
        <f>B1</f>
        <v>(УЧРЕЖДЕНИЯ)</v>
      </c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3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123" t="s">
        <v>5</v>
      </c>
      <c r="C3" s="124" t="s">
        <v>6</v>
      </c>
      <c r="D3" s="125" t="s">
        <v>65</v>
      </c>
      <c r="E3" s="125" t="s">
        <v>7</v>
      </c>
      <c r="F3" s="125" t="s">
        <v>8</v>
      </c>
      <c r="G3" s="125" t="s">
        <v>9</v>
      </c>
      <c r="H3" s="126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125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125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125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s="27" customFormat="1" ht="15" customHeight="1" thickBot="1">
      <c r="A4" s="139" t="s">
        <v>11</v>
      </c>
      <c r="B4" s="127" t="e">
        <f>AVERAGE('Учреждение (1)'!B4,'Учреждение (2)'!B4,'Учреждение (3)'!B4,'Учреждение (4)'!B4,'Учреждение (5)'!B4)</f>
        <v>#DIV/0!</v>
      </c>
      <c r="C4" s="120" t="e">
        <f>B4</f>
        <v>#DIV/0!</v>
      </c>
      <c r="D4" s="107" t="e">
        <f>B4/('Нормы по школам'!C5/100*25)*100</f>
        <v>#DIV/0!</v>
      </c>
      <c r="E4" s="128" t="e">
        <f>C4*'Нормы по школам'!D5/'Нормы по школам'!C5</f>
        <v>#DIV/0!</v>
      </c>
      <c r="F4" s="128" t="e">
        <f>C4*'Нормы по школам'!E5/'Нормы по школам'!C5</f>
        <v>#DIV/0!</v>
      </c>
      <c r="G4" s="128" t="e">
        <f>C4*'Нормы по школам'!F5/'Нормы по школам'!C5</f>
        <v>#DIV/0!</v>
      </c>
      <c r="H4" s="129" t="e">
        <f>C4*'Нормы по школам'!G5/'Нормы по школам'!C5</f>
        <v>#DIV/0!</v>
      </c>
      <c r="I4" s="127" t="e">
        <f>AVERAGE('Учреждение (1)'!I4,'Учреждение (2)'!I4,'Учреждение (3)'!I4,'Учреждение (4)'!I4,'Учреждение (5)'!I4)</f>
        <v>#DIV/0!</v>
      </c>
      <c r="J4" s="108" t="e">
        <f>I4</f>
        <v>#DIV/0!</v>
      </c>
      <c r="K4" s="107" t="e">
        <f>J4/('Нормы по школам'!C5/100*25)*100</f>
        <v>#DIV/0!</v>
      </c>
      <c r="L4" s="158" t="e">
        <f>J4*'Нормы по школам'!J5/'Нормы по школам'!I5</f>
        <v>#DIV/0!</v>
      </c>
      <c r="M4" s="158" t="e">
        <f>J4*'Нормы по школам'!K5/'Нормы по школам'!I5</f>
        <v>#DIV/0!</v>
      </c>
      <c r="N4" s="158" t="e">
        <f>J4*'Нормы по школам'!L5/'Нормы по школам'!I5</f>
        <v>#DIV/0!</v>
      </c>
      <c r="O4" s="159" t="e">
        <f>J4*'Нормы по школам'!M5/'Нормы по школам'!I5</f>
        <v>#DIV/0!</v>
      </c>
      <c r="P4" s="127" t="e">
        <f>AVERAGE('Учреждение (1)'!P4,'Учреждение (2)'!P4,'Учреждение (3)'!P4,'Учреждение (4)'!P4,'Учреждение (5)'!P4)</f>
        <v>#DIV/0!</v>
      </c>
      <c r="Q4" s="108" t="e">
        <f>P4</f>
        <v>#DIV/0!</v>
      </c>
      <c r="R4" s="107" t="e">
        <f>Q4/('Нормы по школам'!C5/100*35)*100</f>
        <v>#DIV/0!</v>
      </c>
      <c r="S4" s="128" t="e">
        <f>Q4*'Нормы по школам'!D5/'Нормы по школам'!C5</f>
        <v>#DIV/0!</v>
      </c>
      <c r="T4" s="128" t="e">
        <f>Q4*'Нормы по школам'!E5/'Нормы по школам'!C5</f>
        <v>#DIV/0!</v>
      </c>
      <c r="U4" s="128" t="e">
        <f>Q4*'Нормы по школам'!F5/'Нормы по школам'!C5</f>
        <v>#DIV/0!</v>
      </c>
      <c r="V4" s="130" t="e">
        <f>Q4*'Нормы по школам'!G5/'Нормы по школам'!C5</f>
        <v>#DIV/0!</v>
      </c>
      <c r="W4" s="127" t="e">
        <f>AVERAGE('Учреждение (1)'!W4,'Учреждение (2)'!W4,'Учреждение (3)'!W4,'Учреждение (4)'!W4,'Учреждение (5)'!W4)</f>
        <v>#DIV/0!</v>
      </c>
      <c r="X4" s="120" t="e">
        <f>W4</f>
        <v>#DIV/0!</v>
      </c>
      <c r="Y4" s="107" t="e">
        <f>X4/('Нормы по школам'!C5/100*35)*100</f>
        <v>#DIV/0!</v>
      </c>
      <c r="Z4" s="158" t="e">
        <f>X4*'Нормы по школам'!J5/'Нормы по школам'!I5</f>
        <v>#DIV/0!</v>
      </c>
      <c r="AA4" s="158" t="e">
        <f>X4*'Нормы по школам'!K5/'Нормы по школам'!I5</f>
        <v>#DIV/0!</v>
      </c>
      <c r="AB4" s="158" t="e">
        <f>X4*'Нормы по школам'!L5/'Нормы по школам'!I5</f>
        <v>#DIV/0!</v>
      </c>
      <c r="AC4" s="159" t="e">
        <f>X4*'Нормы по школам'!M5/'Нормы по школам'!I5</f>
        <v>#DIV/0!</v>
      </c>
      <c r="AD4" s="127" t="e">
        <f>AVERAGE('Учреждение (1)'!AD4,'Учреждение (2)'!AD4,'Учреждение (3)'!AD4,'Учреждение (4)'!AD4,'Учреждение (5)'!AD4)</f>
        <v>#DIV/0!</v>
      </c>
      <c r="AE4" s="108" t="e">
        <f>AD4</f>
        <v>#DIV/0!</v>
      </c>
      <c r="AF4" s="107" t="e">
        <f>AE4/('Нормы по школам'!C5/100*60)*100</f>
        <v>#DIV/0!</v>
      </c>
      <c r="AG4" s="128" t="e">
        <f>AE4*'Нормы по школам'!D5/'Нормы по школам'!C5</f>
        <v>#DIV/0!</v>
      </c>
      <c r="AH4" s="128" t="e">
        <f>AE4*'Нормы по школам'!E5/'Нормы по школам'!C5</f>
        <v>#DIV/0!</v>
      </c>
      <c r="AI4" s="128" t="e">
        <f>AE4*'Нормы по школам'!F5/'Нормы по школам'!C5</f>
        <v>#DIV/0!</v>
      </c>
      <c r="AJ4" s="129" t="e">
        <f>AE4*'Нормы по школам'!G5/'Нормы по школам'!C5</f>
        <v>#DIV/0!</v>
      </c>
      <c r="AK4" s="127" t="e">
        <f>AVERAGE('Учреждение (1)'!AK4,'Учреждение (2)'!AK4,'Учреждение (3)'!AK4,'Учреждение (4)'!AK4,'Учреждение (5)'!AK4)</f>
        <v>#DIV/0!</v>
      </c>
      <c r="AL4" s="108" t="e">
        <f>AK4</f>
        <v>#DIV/0!</v>
      </c>
      <c r="AM4" s="107" t="e">
        <f>AL4/('Нормы по школам'!C5/100*60)*100</f>
        <v>#DIV/0!</v>
      </c>
      <c r="AN4" s="158" t="e">
        <f>AL4*'Нормы по школам'!J5/'Нормы по школам'!I5</f>
        <v>#DIV/0!</v>
      </c>
      <c r="AO4" s="158" t="e">
        <f>AL4*'Нормы по школам'!K5/'Нормы по школам'!I5</f>
        <v>#DIV/0!</v>
      </c>
      <c r="AP4" s="158" t="e">
        <f>AL4*'Нормы по школам'!L5/'Нормы по школам'!I5</f>
        <v>#DIV/0!</v>
      </c>
      <c r="AQ4" s="159" t="e">
        <f>AL4*'Нормы по школам'!M5/'Нормы по школам'!I5</f>
        <v>#DIV/0!</v>
      </c>
    </row>
    <row r="5" spans="1:43" s="27" customFormat="1" ht="15" customHeight="1" thickBot="1">
      <c r="A5" s="140" t="s">
        <v>12</v>
      </c>
      <c r="B5" s="127">
        <f>AVERAGE('Учреждение (1)'!B5,'Учреждение (2)'!B5,'Учреждение (3)'!B5,'Учреждение (4)'!B5,'Учреждение (5)'!B5)</f>
        <v>45.4</v>
      </c>
      <c r="C5" s="119">
        <f>B5</f>
        <v>45.4</v>
      </c>
      <c r="D5" s="107">
        <f>B5/('Нормы по школам'!C6/100*25)*100</f>
        <v>121.06666666666666</v>
      </c>
      <c r="E5" s="132">
        <f>C5*'Нормы по школам'!D6/'Нормы по школам'!C6</f>
        <v>3.4503999999999997</v>
      </c>
      <c r="F5" s="132">
        <f>C5*'Нормы по школам'!E6/'Нормы по школам'!C6</f>
        <v>0.36319999999999997</v>
      </c>
      <c r="G5" s="132">
        <f>C5*'Нормы по школам'!F6/'Нормы по школам'!C6</f>
        <v>22.3368</v>
      </c>
      <c r="H5" s="133">
        <f>C5*'Нормы по школам'!G6/'Нормы по школам'!C6</f>
        <v>106.69</v>
      </c>
      <c r="I5" s="127">
        <f>AVERAGE('Учреждение (1)'!I5,'Учреждение (2)'!I5,'Учреждение (3)'!I5,'Учреждение (4)'!I5,'Учреждение (5)'!I5)</f>
        <v>69.400000000000006</v>
      </c>
      <c r="J5" s="109">
        <f>I5</f>
        <v>69.400000000000006</v>
      </c>
      <c r="K5" s="107">
        <f>J5/('Нормы по школам'!C6/100*25)*100</f>
        <v>185.06666666666669</v>
      </c>
      <c r="L5" s="160">
        <f>J5*'Нормы по школам'!J6/'Нормы по школам'!I6</f>
        <v>5.2744000000000009</v>
      </c>
      <c r="M5" s="160">
        <f>J5*'Нормы по школам'!K6/'Нормы по школам'!I6</f>
        <v>0.55520000000000014</v>
      </c>
      <c r="N5" s="160">
        <f>J5*'Нормы по школам'!L6/'Нормы по школам'!I6</f>
        <v>34.144800000000004</v>
      </c>
      <c r="O5" s="161">
        <f>J5*'Нормы по школам'!M6/'Нормы по школам'!I6</f>
        <v>163.09000000000003</v>
      </c>
      <c r="P5" s="127" t="e">
        <f>AVERAGE('Учреждение (1)'!P5,'Учреждение (2)'!P5,'Учреждение (3)'!P5,'Учреждение (4)'!P5,'Учреждение (5)'!P5)</f>
        <v>#DIV/0!</v>
      </c>
      <c r="Q5" s="109" t="e">
        <f>P5</f>
        <v>#DIV/0!</v>
      </c>
      <c r="R5" s="131" t="e">
        <f>Q5*100/'Нормы по школам'!C6</f>
        <v>#DIV/0!</v>
      </c>
      <c r="S5" s="132" t="e">
        <f>Q5*'Нормы по школам'!D6/'Нормы по школам'!C6</f>
        <v>#DIV/0!</v>
      </c>
      <c r="T5" s="132" t="e">
        <f>Q5*'Нормы по школам'!E6/'Нормы по школам'!C6</f>
        <v>#DIV/0!</v>
      </c>
      <c r="U5" s="132" t="e">
        <f>Q5*'Нормы по школам'!F6/'Нормы по школам'!C6</f>
        <v>#DIV/0!</v>
      </c>
      <c r="V5" s="134" t="e">
        <f>Q5*'Нормы по школам'!G6/'Нормы по школам'!C6</f>
        <v>#DIV/0!</v>
      </c>
      <c r="W5" s="127" t="e">
        <f>AVERAGE('Учреждение (1)'!W5,'Учреждение (2)'!W5,'Учреждение (3)'!W5,'Учреждение (4)'!W5,'Учреждение (5)'!W5)</f>
        <v>#DIV/0!</v>
      </c>
      <c r="X5" s="119" t="e">
        <f>W5</f>
        <v>#DIV/0!</v>
      </c>
      <c r="Y5" s="107" t="e">
        <f>X5/('Нормы по школам'!C6/100*35)*100</f>
        <v>#DIV/0!</v>
      </c>
      <c r="Z5" s="160" t="e">
        <f>X5*'Нормы по школам'!J6/'Нормы по школам'!I6</f>
        <v>#DIV/0!</v>
      </c>
      <c r="AA5" s="160" t="e">
        <f>X5*'Нормы по школам'!K6/'Нормы по школам'!I6</f>
        <v>#DIV/0!</v>
      </c>
      <c r="AB5" s="160" t="e">
        <f>X5*'Нормы по школам'!L6/'Нормы по школам'!I6</f>
        <v>#DIV/0!</v>
      </c>
      <c r="AC5" s="161" t="e">
        <f>X5*'Нормы по школам'!M6/'Нормы по школам'!I6</f>
        <v>#DIV/0!</v>
      </c>
      <c r="AD5" s="127" t="e">
        <f>AVERAGE('Учреждение (1)'!AD5,'Учреждение (2)'!AD5,'Учреждение (3)'!AD5,'Учреждение (4)'!AD5,'Учреждение (5)'!AD5)</f>
        <v>#DIV/0!</v>
      </c>
      <c r="AE5" s="109" t="e">
        <f>AD5</f>
        <v>#DIV/0!</v>
      </c>
      <c r="AF5" s="107" t="e">
        <f>AE5/('Нормы по школам'!C6/100*60)*100</f>
        <v>#DIV/0!</v>
      </c>
      <c r="AG5" s="132" t="e">
        <f>AE5*'Нормы по школам'!D6/'Нормы по школам'!C6</f>
        <v>#DIV/0!</v>
      </c>
      <c r="AH5" s="132" t="e">
        <f>AE5*'Нормы по школам'!E6/'Нормы по школам'!C6</f>
        <v>#DIV/0!</v>
      </c>
      <c r="AI5" s="132" t="e">
        <f>AE5*'Нормы по школам'!F6/'Нормы по школам'!C6</f>
        <v>#DIV/0!</v>
      </c>
      <c r="AJ5" s="133" t="e">
        <f>AE5*'Нормы по школам'!G6/'Нормы по школам'!C6</f>
        <v>#DIV/0!</v>
      </c>
      <c r="AK5" s="127" t="e">
        <f>AVERAGE('Учреждение (1)'!AK5,'Учреждение (2)'!AK5,'Учреждение (3)'!AK5,'Учреждение (4)'!AK5,'Учреждение (5)'!AK5)</f>
        <v>#DIV/0!</v>
      </c>
      <c r="AL5" s="109" t="e">
        <f>AK5</f>
        <v>#DIV/0!</v>
      </c>
      <c r="AM5" s="107" t="e">
        <f>AL5/('Нормы по школам'!C6/100*60)*100</f>
        <v>#DIV/0!</v>
      </c>
      <c r="AN5" s="160" t="e">
        <f>AL5*'Нормы по школам'!J6/'Нормы по школам'!I6</f>
        <v>#DIV/0!</v>
      </c>
      <c r="AO5" s="160" t="e">
        <f>AL5*'Нормы по школам'!K6/'Нормы по школам'!I6</f>
        <v>#DIV/0!</v>
      </c>
      <c r="AP5" s="160" t="e">
        <f>AL5*'Нормы по школам'!L6/'Нормы по школам'!I6</f>
        <v>#DIV/0!</v>
      </c>
      <c r="AQ5" s="161" t="e">
        <f>AL5*'Нормы по школам'!M6/'Нормы по школам'!I6</f>
        <v>#DIV/0!</v>
      </c>
    </row>
    <row r="6" spans="1:43" s="27" customFormat="1" ht="15" customHeight="1" thickBot="1">
      <c r="A6" s="140" t="s">
        <v>13</v>
      </c>
      <c r="B6" s="127">
        <f>AVERAGE('Учреждение (1)'!B6,'Учреждение (2)'!B6,'Учреждение (3)'!B6,'Учреждение (4)'!B6,'Учреждение (5)'!B6)</f>
        <v>1.5</v>
      </c>
      <c r="C6" s="119">
        <f t="shared" ref="C6:C34" si="0">B6</f>
        <v>1.5</v>
      </c>
      <c r="D6" s="107">
        <f>B6/('Нормы по школам'!C7/100*25)*100</f>
        <v>40</v>
      </c>
      <c r="E6" s="132">
        <f>C6*'Нормы по школам'!D7/'Нормы по школам'!C7</f>
        <v>0.16200000000000001</v>
      </c>
      <c r="F6" s="132">
        <f>C6*'Нормы по школам'!E7/'Нормы по школам'!C7</f>
        <v>1.95E-2</v>
      </c>
      <c r="G6" s="132">
        <f>C6*'Нормы по школам'!F7/'Нормы по школам'!C7</f>
        <v>1.0485</v>
      </c>
      <c r="H6" s="133">
        <f>C6*'Нормы по школам'!G7/'Нормы по школам'!C7</f>
        <v>5.0100000000000007</v>
      </c>
      <c r="I6" s="127">
        <f>AVERAGE('Учреждение (1)'!I6,'Учреждение (2)'!I6,'Учреждение (3)'!I6,'Учреждение (4)'!I6,'Учреждение (5)'!I6)</f>
        <v>0.67</v>
      </c>
      <c r="J6" s="109">
        <f t="shared" ref="J6:J34" si="1">I6</f>
        <v>0.67</v>
      </c>
      <c r="K6" s="107">
        <f>J6/('Нормы по школам'!C7/100*25)*100</f>
        <v>17.866666666666667</v>
      </c>
      <c r="L6" s="160">
        <f>J6*'Нормы по школам'!J7/'Нормы по школам'!I7</f>
        <v>7.2360000000000008E-2</v>
      </c>
      <c r="M6" s="160">
        <f>J6*'Нормы по школам'!K7/'Нормы по школам'!I7</f>
        <v>8.7100000000000007E-3</v>
      </c>
      <c r="N6" s="160">
        <f>J6*'Нормы по школам'!L7/'Нормы по школам'!I7</f>
        <v>0.46833000000000002</v>
      </c>
      <c r="O6" s="161">
        <f>J6*'Нормы по школам'!M7/'Нормы по школам'!I7</f>
        <v>2.2378</v>
      </c>
      <c r="P6" s="127" t="e">
        <f>AVERAGE('Учреждение (1)'!P6,'Учреждение (2)'!P6,'Учреждение (3)'!P6,'Учреждение (4)'!P6,'Учреждение (5)'!P6)</f>
        <v>#DIV/0!</v>
      </c>
      <c r="Q6" s="109" t="e">
        <f>P6</f>
        <v>#DIV/0!</v>
      </c>
      <c r="R6" s="131" t="e">
        <f>Q6*100/'Нормы по школам'!C7</f>
        <v>#DIV/0!</v>
      </c>
      <c r="S6" s="132" t="e">
        <f>Q6*'Нормы по школам'!D7/'Нормы по школам'!C7</f>
        <v>#DIV/0!</v>
      </c>
      <c r="T6" s="132" t="e">
        <f>Q6*'Нормы по школам'!E7/'Нормы по школам'!C7</f>
        <v>#DIV/0!</v>
      </c>
      <c r="U6" s="132" t="e">
        <f>Q6*'Нормы по школам'!F7/'Нормы по школам'!C7</f>
        <v>#DIV/0!</v>
      </c>
      <c r="V6" s="134" t="e">
        <f>Q6*'Нормы по школам'!G7/'Нормы по школам'!C7</f>
        <v>#DIV/0!</v>
      </c>
      <c r="W6" s="127" t="e">
        <f>AVERAGE('Учреждение (1)'!W6,'Учреждение (2)'!W6,'Учреждение (3)'!W6,'Учреждение (4)'!W6,'Учреждение (5)'!W6)</f>
        <v>#DIV/0!</v>
      </c>
      <c r="X6" s="119" t="e">
        <f t="shared" ref="X6:X34" si="2">W6</f>
        <v>#DIV/0!</v>
      </c>
      <c r="Y6" s="107" t="e">
        <f>X6/('Нормы по школам'!C7/100*35)*100</f>
        <v>#DIV/0!</v>
      </c>
      <c r="Z6" s="160" t="e">
        <f>X6*'Нормы по школам'!J7/'Нормы по школам'!I7</f>
        <v>#DIV/0!</v>
      </c>
      <c r="AA6" s="160" t="e">
        <f>X6*'Нормы по школам'!K7/'Нормы по школам'!I7</f>
        <v>#DIV/0!</v>
      </c>
      <c r="AB6" s="160" t="e">
        <f>X6*'Нормы по школам'!L7/'Нормы по школам'!I7</f>
        <v>#DIV/0!</v>
      </c>
      <c r="AC6" s="161" t="e">
        <f>X6*'Нормы по школам'!M7/'Нормы по школам'!I7</f>
        <v>#DIV/0!</v>
      </c>
      <c r="AD6" s="127" t="e">
        <f>AVERAGE('Учреждение (1)'!AD6,'Учреждение (2)'!AD6,'Учреждение (3)'!AD6,'Учреждение (4)'!AD6,'Учреждение (5)'!AD6)</f>
        <v>#DIV/0!</v>
      </c>
      <c r="AE6" s="109" t="e">
        <f>AD6</f>
        <v>#DIV/0!</v>
      </c>
      <c r="AF6" s="107" t="e">
        <f>AE6/('Нормы по школам'!C7/100*60)*100</f>
        <v>#DIV/0!</v>
      </c>
      <c r="AG6" s="132" t="e">
        <f>AE6*'Нормы по школам'!D7/'Нормы по школам'!C7</f>
        <v>#DIV/0!</v>
      </c>
      <c r="AH6" s="132" t="e">
        <f>AE6*'Нормы по школам'!E7/'Нормы по школам'!C7</f>
        <v>#DIV/0!</v>
      </c>
      <c r="AI6" s="132" t="e">
        <f>AE6*'Нормы по школам'!F7/'Нормы по школам'!C7</f>
        <v>#DIV/0!</v>
      </c>
      <c r="AJ6" s="133" t="e">
        <f>AE6*'Нормы по школам'!G7/'Нормы по школам'!C7</f>
        <v>#DIV/0!</v>
      </c>
      <c r="AK6" s="127" t="e">
        <f>AVERAGE('Учреждение (1)'!AK6,'Учреждение (2)'!AK6,'Учреждение (3)'!AK6,'Учреждение (4)'!AK6,'Учреждение (5)'!AK6)</f>
        <v>#DIV/0!</v>
      </c>
      <c r="AL6" s="109" t="e">
        <f t="shared" ref="AL6:AL34" si="3">AK6</f>
        <v>#DIV/0!</v>
      </c>
      <c r="AM6" s="107" t="e">
        <f>AL6/('Нормы по школам'!C7/100*60)*100</f>
        <v>#DIV/0!</v>
      </c>
      <c r="AN6" s="160" t="e">
        <f>AL6*'Нормы по школам'!J7/'Нормы по школам'!I7</f>
        <v>#DIV/0!</v>
      </c>
      <c r="AO6" s="160" t="e">
        <f>AL6*'Нормы по школам'!K7/'Нормы по школам'!I7</f>
        <v>#DIV/0!</v>
      </c>
      <c r="AP6" s="160" t="e">
        <f>AL6*'Нормы по школам'!L7/'Нормы по школам'!I7</f>
        <v>#DIV/0!</v>
      </c>
      <c r="AQ6" s="161" t="e">
        <f>AL6*'Нормы по школам'!M7/'Нормы по школам'!I7</f>
        <v>#DIV/0!</v>
      </c>
    </row>
    <row r="7" spans="1:43" s="27" customFormat="1" ht="15" customHeight="1" thickBot="1">
      <c r="A7" s="140" t="s">
        <v>14</v>
      </c>
      <c r="B7" s="127">
        <f>AVERAGE('Учреждение (1)'!B7,'Учреждение (2)'!B7,'Учреждение (3)'!B7,'Учреждение (4)'!B7,'Учреждение (5)'!B7)</f>
        <v>14.6</v>
      </c>
      <c r="C7" s="119">
        <f t="shared" si="0"/>
        <v>14.6</v>
      </c>
      <c r="D7" s="107">
        <f>B7/('Нормы по школам'!C8/100*25)*100</f>
        <v>129.77777777777777</v>
      </c>
      <c r="E7" s="132">
        <f>C7*'Нормы по школам'!D8/'Нормы по школам'!C8</f>
        <v>1.5841000000000003</v>
      </c>
      <c r="F7" s="132">
        <f>C7*'Нормы по школам'!E8/'Нормы по школам'!C8</f>
        <v>0.50370000000000004</v>
      </c>
      <c r="G7" s="132">
        <f>C7*'Нормы по школам'!F8/'Нормы по школам'!C8</f>
        <v>9.468099999999998</v>
      </c>
      <c r="H7" s="133">
        <f>C7*'Нормы по школам'!G8/'Нормы по школам'!C8</f>
        <v>48.727499999999992</v>
      </c>
      <c r="I7" s="127">
        <f>AVERAGE('Учреждение (1)'!I7,'Учреждение (2)'!I7,'Учреждение (3)'!I7,'Учреждение (4)'!I7,'Учреждение (5)'!I7)</f>
        <v>17.8</v>
      </c>
      <c r="J7" s="109">
        <f t="shared" si="1"/>
        <v>17.8</v>
      </c>
      <c r="K7" s="107">
        <f>J7/('Нормы по школам'!C8/100*25)*100</f>
        <v>158.22222222222223</v>
      </c>
      <c r="L7" s="160">
        <f>J7*'Нормы по школам'!J8/'Нормы по школам'!I8</f>
        <v>1.9313</v>
      </c>
      <c r="M7" s="160">
        <f>J7*'Нормы по школам'!K8/'Нормы по школам'!I8</f>
        <v>0.61410000000000009</v>
      </c>
      <c r="N7" s="160">
        <f>J7*'Нормы по школам'!L8/'Нормы по школам'!I8</f>
        <v>11.543299999999999</v>
      </c>
      <c r="O7" s="161">
        <f>J7*'Нормы по школам'!M8/'Нормы по школам'!I8</f>
        <v>59.407499999999999</v>
      </c>
      <c r="P7" s="127" t="e">
        <f>AVERAGE('Учреждение (1)'!P7,'Учреждение (2)'!P7,'Учреждение (3)'!P7,'Учреждение (4)'!P7,'Учреждение (5)'!P7)</f>
        <v>#DIV/0!</v>
      </c>
      <c r="Q7" s="109" t="e">
        <f>P7</f>
        <v>#DIV/0!</v>
      </c>
      <c r="R7" s="131" t="e">
        <f>Q7*100/'Нормы по школам'!C8</f>
        <v>#DIV/0!</v>
      </c>
      <c r="S7" s="132" t="e">
        <f>Q7*'Нормы по школам'!D8/'Нормы по школам'!C8</f>
        <v>#DIV/0!</v>
      </c>
      <c r="T7" s="132" t="e">
        <f>Q7*'Нормы по школам'!E8/'Нормы по школам'!C8</f>
        <v>#DIV/0!</v>
      </c>
      <c r="U7" s="132" t="e">
        <f>Q7*'Нормы по школам'!F8/'Нормы по школам'!C8</f>
        <v>#DIV/0!</v>
      </c>
      <c r="V7" s="134" t="e">
        <f>Q7*'Нормы по школам'!G8/'Нормы по школам'!C8</f>
        <v>#DIV/0!</v>
      </c>
      <c r="W7" s="127" t="e">
        <f>AVERAGE('Учреждение (1)'!W7,'Учреждение (2)'!W7,'Учреждение (3)'!W7,'Учреждение (4)'!W7,'Учреждение (5)'!W7)</f>
        <v>#DIV/0!</v>
      </c>
      <c r="X7" s="119" t="e">
        <f t="shared" si="2"/>
        <v>#DIV/0!</v>
      </c>
      <c r="Y7" s="107" t="e">
        <f>X7/('Нормы по школам'!C8/100*35)*100</f>
        <v>#DIV/0!</v>
      </c>
      <c r="Z7" s="160" t="e">
        <f>X7*'Нормы по школам'!J8/'Нормы по школам'!I8</f>
        <v>#DIV/0!</v>
      </c>
      <c r="AA7" s="160" t="e">
        <f>X7*'Нормы по школам'!K8/'Нормы по школам'!I8</f>
        <v>#DIV/0!</v>
      </c>
      <c r="AB7" s="160" t="e">
        <f>X7*'Нормы по школам'!L8/'Нормы по школам'!I8</f>
        <v>#DIV/0!</v>
      </c>
      <c r="AC7" s="161" t="e">
        <f>X7*'Нормы по школам'!M8/'Нормы по школам'!I8</f>
        <v>#DIV/0!</v>
      </c>
      <c r="AD7" s="127" t="e">
        <f>AVERAGE('Учреждение (1)'!AD7,'Учреждение (2)'!AD7,'Учреждение (3)'!AD7,'Учреждение (4)'!AD7,'Учреждение (5)'!AD7)</f>
        <v>#DIV/0!</v>
      </c>
      <c r="AE7" s="109" t="e">
        <f>AD7</f>
        <v>#DIV/0!</v>
      </c>
      <c r="AF7" s="107" t="e">
        <f>AE7/('Нормы по школам'!C8/100*60)*100</f>
        <v>#DIV/0!</v>
      </c>
      <c r="AG7" s="132" t="e">
        <f>AE7*'Нормы по школам'!D8/'Нормы по школам'!C8</f>
        <v>#DIV/0!</v>
      </c>
      <c r="AH7" s="132" t="e">
        <f>AE7*'Нормы по школам'!E8/'Нормы по школам'!C8</f>
        <v>#DIV/0!</v>
      </c>
      <c r="AI7" s="132" t="e">
        <f>AE7*'Нормы по школам'!F8/'Нормы по школам'!C8</f>
        <v>#DIV/0!</v>
      </c>
      <c r="AJ7" s="133" t="e">
        <f>AE7*'Нормы по школам'!G8/'Нормы по школам'!C8</f>
        <v>#DIV/0!</v>
      </c>
      <c r="AK7" s="127" t="e">
        <f>AVERAGE('Учреждение (1)'!AK7,'Учреждение (2)'!AK7,'Учреждение (3)'!AK7,'Учреждение (4)'!AK7,'Учреждение (5)'!AK7)</f>
        <v>#DIV/0!</v>
      </c>
      <c r="AL7" s="109" t="e">
        <f t="shared" si="3"/>
        <v>#DIV/0!</v>
      </c>
      <c r="AM7" s="107" t="e">
        <f>AL7/('Нормы по школам'!C8/100*60)*100</f>
        <v>#DIV/0!</v>
      </c>
      <c r="AN7" s="160" t="e">
        <f>AL7*'Нормы по школам'!J8/'Нормы по школам'!I8</f>
        <v>#DIV/0!</v>
      </c>
      <c r="AO7" s="160" t="e">
        <f>AL7*'Нормы по школам'!K8/'Нормы по школам'!I8</f>
        <v>#DIV/0!</v>
      </c>
      <c r="AP7" s="160" t="e">
        <f>AL7*'Нормы по школам'!L8/'Нормы по школам'!I8</f>
        <v>#DIV/0!</v>
      </c>
      <c r="AQ7" s="161" t="e">
        <f>AL7*'Нормы по школам'!M8/'Нормы по школам'!I8</f>
        <v>#DIV/0!</v>
      </c>
    </row>
    <row r="8" spans="1:43" s="27" customFormat="1" ht="15" customHeight="1" thickBot="1">
      <c r="A8" s="140" t="s">
        <v>15</v>
      </c>
      <c r="B8" s="127">
        <f>AVERAGE('Учреждение (1)'!B8,'Учреждение (2)'!B8,'Учреждение (3)'!B8,'Учреждение (4)'!B8,'Учреждение (5)'!B8)</f>
        <v>5.9</v>
      </c>
      <c r="C8" s="119">
        <f t="shared" si="0"/>
        <v>5.9</v>
      </c>
      <c r="D8" s="107">
        <f>B8/('Нормы по школам'!C9/100*25)*100</f>
        <v>157.33333333333334</v>
      </c>
      <c r="E8" s="132">
        <f>C8*'Нормы по школам'!D9/'Нормы по школам'!C9</f>
        <v>0.64899999999999991</v>
      </c>
      <c r="F8" s="132">
        <f>C8*'Нормы по школам'!E9/'Нормы по школам'!C9</f>
        <v>7.6700000000000004E-2</v>
      </c>
      <c r="G8" s="132">
        <f>C8*'Нормы по школам'!F9/'Нормы по школам'!C9</f>
        <v>4.1594999999999995</v>
      </c>
      <c r="H8" s="133">
        <f>C8*'Нормы по школам'!G9/'Нормы по школам'!C9</f>
        <v>19.942000000000004</v>
      </c>
      <c r="I8" s="127">
        <f>AVERAGE('Учреждение (1)'!I8,'Учреждение (2)'!I8,'Учреждение (3)'!I8,'Учреждение (4)'!I8,'Учреждение (5)'!I8)</f>
        <v>10.199999999999999</v>
      </c>
      <c r="J8" s="109">
        <f t="shared" si="1"/>
        <v>10.199999999999999</v>
      </c>
      <c r="K8" s="107">
        <f>J8/('Нормы по школам'!C9/100*25)*100</f>
        <v>272</v>
      </c>
      <c r="L8" s="160">
        <f>J8*'Нормы по школам'!J9/'Нормы по школам'!I9</f>
        <v>1.1220000000000001</v>
      </c>
      <c r="M8" s="160">
        <f>J8*'Нормы по школам'!K9/'Нормы по школам'!I9</f>
        <v>0.1326</v>
      </c>
      <c r="N8" s="160">
        <f>J8*'Нормы по школам'!L9/'Нормы по школам'!I9</f>
        <v>7.1909999999999998</v>
      </c>
      <c r="O8" s="161">
        <f>J8*'Нормы по школам'!M9/'Нормы по школам'!I9</f>
        <v>34.475999999999992</v>
      </c>
      <c r="P8" s="127" t="e">
        <f>AVERAGE('Учреждение (1)'!P8,'Учреждение (2)'!P8,'Учреждение (3)'!P8,'Учреждение (4)'!P8,'Учреждение (5)'!P8)</f>
        <v>#DIV/0!</v>
      </c>
      <c r="Q8" s="109" t="e">
        <f>P8</f>
        <v>#DIV/0!</v>
      </c>
      <c r="R8" s="131" t="e">
        <f>Q8*100/'Нормы по школам'!C9</f>
        <v>#DIV/0!</v>
      </c>
      <c r="S8" s="132" t="e">
        <f>Q8*'Нормы по школам'!D9/'Нормы по школам'!C9</f>
        <v>#DIV/0!</v>
      </c>
      <c r="T8" s="132" t="e">
        <f>Q8*'Нормы по школам'!E9/'Нормы по школам'!C9</f>
        <v>#DIV/0!</v>
      </c>
      <c r="U8" s="132" t="e">
        <f>Q8*'Нормы по школам'!F9/'Нормы по школам'!C9</f>
        <v>#DIV/0!</v>
      </c>
      <c r="V8" s="134" t="e">
        <f>Q8*'Нормы по школам'!G9/'Нормы по школам'!C9</f>
        <v>#DIV/0!</v>
      </c>
      <c r="W8" s="127" t="e">
        <f>AVERAGE('Учреждение (1)'!W8,'Учреждение (2)'!W8,'Учреждение (3)'!W8,'Учреждение (4)'!W8,'Учреждение (5)'!W8)</f>
        <v>#DIV/0!</v>
      </c>
      <c r="X8" s="119" t="e">
        <f t="shared" si="2"/>
        <v>#DIV/0!</v>
      </c>
      <c r="Y8" s="107" t="e">
        <f>X8/('Нормы по школам'!C9/100*35)*100</f>
        <v>#DIV/0!</v>
      </c>
      <c r="Z8" s="160" t="e">
        <f>X8*'Нормы по школам'!J9/'Нормы по школам'!I9</f>
        <v>#DIV/0!</v>
      </c>
      <c r="AA8" s="160" t="e">
        <f>X8*'Нормы по школам'!K9/'Нормы по школам'!I9</f>
        <v>#DIV/0!</v>
      </c>
      <c r="AB8" s="160" t="e">
        <f>X8*'Нормы по школам'!L9/'Нормы по школам'!I9</f>
        <v>#DIV/0!</v>
      </c>
      <c r="AC8" s="161" t="e">
        <f>X8*'Нормы по школам'!M9/'Нормы по школам'!I9</f>
        <v>#DIV/0!</v>
      </c>
      <c r="AD8" s="127" t="e">
        <f>AVERAGE('Учреждение (1)'!AD8,'Учреждение (2)'!AD8,'Учреждение (3)'!AD8,'Учреждение (4)'!AD8,'Учреждение (5)'!AD8)</f>
        <v>#DIV/0!</v>
      </c>
      <c r="AE8" s="109" t="e">
        <f>AD8</f>
        <v>#DIV/0!</v>
      </c>
      <c r="AF8" s="107" t="e">
        <f>AE8/('Нормы по школам'!C9/100*60)*100</f>
        <v>#DIV/0!</v>
      </c>
      <c r="AG8" s="132" t="e">
        <f>AE8*'Нормы по школам'!D9/'Нормы по школам'!C9</f>
        <v>#DIV/0!</v>
      </c>
      <c r="AH8" s="132" t="e">
        <f>AE8*'Нормы по школам'!E9/'Нормы по школам'!C9</f>
        <v>#DIV/0!</v>
      </c>
      <c r="AI8" s="132" t="e">
        <f>AE8*'Нормы по школам'!F9/'Нормы по школам'!C9</f>
        <v>#DIV/0!</v>
      </c>
      <c r="AJ8" s="133" t="e">
        <f>AE8*'Нормы по школам'!G9/'Нормы по школам'!C9</f>
        <v>#DIV/0!</v>
      </c>
      <c r="AK8" s="127" t="e">
        <f>AVERAGE('Учреждение (1)'!AK8,'Учреждение (2)'!AK8,'Учреждение (3)'!AK8,'Учреждение (4)'!AK8,'Учреждение (5)'!AK8)</f>
        <v>#DIV/0!</v>
      </c>
      <c r="AL8" s="109" t="e">
        <f t="shared" si="3"/>
        <v>#DIV/0!</v>
      </c>
      <c r="AM8" s="107" t="e">
        <f>AL8/('Нормы по школам'!C9/100*60)*100</f>
        <v>#DIV/0!</v>
      </c>
      <c r="AN8" s="160" t="e">
        <f>AL8*'Нормы по школам'!J9/'Нормы по школам'!I9</f>
        <v>#DIV/0!</v>
      </c>
      <c r="AO8" s="160" t="e">
        <f>AL8*'Нормы по школам'!K9/'Нормы по школам'!I9</f>
        <v>#DIV/0!</v>
      </c>
      <c r="AP8" s="160" t="e">
        <f>AL8*'Нормы по школам'!L9/'Нормы по школам'!I9</f>
        <v>#DIV/0!</v>
      </c>
      <c r="AQ8" s="161" t="e">
        <f>AL8*'Нормы по школам'!M9/'Нормы по школам'!I9</f>
        <v>#DIV/0!</v>
      </c>
    </row>
    <row r="9" spans="1:43" s="27" customFormat="1" ht="15" customHeight="1" thickBot="1">
      <c r="A9" s="140" t="s">
        <v>16</v>
      </c>
      <c r="B9" s="127">
        <f>AVERAGE('Учреждение (1)'!B9,'Учреждение (2)'!B9,'Учреждение (3)'!B9,'Учреждение (4)'!B9,'Учреждение (5)'!B9)</f>
        <v>50.7</v>
      </c>
      <c r="C9" s="119">
        <f>B9*'Нормы по школам'!C10/'Нормы по школам'!B10</f>
        <v>38.126400000000004</v>
      </c>
      <c r="D9" s="107">
        <f>B9/('Нормы по школам'!C10/100*25)*100</f>
        <v>107.87234042553193</v>
      </c>
      <c r="E9" s="132">
        <f>C9*'Нормы по школам'!D10/'Нормы по школам'!C10</f>
        <v>0.76252799999999998</v>
      </c>
      <c r="F9" s="132">
        <f>C9*'Нормы по школам'!E10/'Нормы по школам'!C10</f>
        <v>0.15250560000000002</v>
      </c>
      <c r="G9" s="132">
        <f>C9*'Нормы по школам'!F10/'Нормы по школам'!C10</f>
        <v>6.2146032000000018</v>
      </c>
      <c r="H9" s="133">
        <f>C9*'Нормы по школам'!G10/'Нормы по школам'!C10</f>
        <v>29.357327999999999</v>
      </c>
      <c r="I9" s="127">
        <f>AVERAGE('Учреждение (1)'!I9,'Учреждение (2)'!I9,'Учреждение (3)'!I9,'Учреждение (4)'!I9,'Учреждение (5)'!I9)</f>
        <v>61.4</v>
      </c>
      <c r="J9" s="109">
        <f>I9*'Нормы по школам'!I10/'Нормы по школам'!H10</f>
        <v>46.172799999999995</v>
      </c>
      <c r="K9" s="107">
        <f>J9/('Нормы по школам'!C10/100*25)*100</f>
        <v>98.24</v>
      </c>
      <c r="L9" s="160">
        <f>J9*'Нормы по школам'!J10/'Нормы по школам'!I10</f>
        <v>0.92345599999999983</v>
      </c>
      <c r="M9" s="160">
        <f>J9*'Нормы по школам'!K10/'Нормы по школам'!I10</f>
        <v>0.1846912</v>
      </c>
      <c r="N9" s="160">
        <f>J9*'Нормы по школам'!L10/'Нормы по школам'!I10</f>
        <v>7.5261663999999993</v>
      </c>
      <c r="O9" s="161">
        <f>J9*'Нормы по школам'!M10/'Нормы по школам'!I10</f>
        <v>35.553055999999991</v>
      </c>
      <c r="P9" s="127" t="e">
        <f>AVERAGE('Учреждение (1)'!P9,'Учреждение (2)'!P9,'Учреждение (3)'!P9,'Учреждение (4)'!P9,'Учреждение (5)'!P9)</f>
        <v>#DIV/0!</v>
      </c>
      <c r="Q9" s="109" t="e">
        <f>P9*'Нормы по школам'!C10/'Нормы по школам'!B10</f>
        <v>#DIV/0!</v>
      </c>
      <c r="R9" s="131" t="e">
        <f>Q9*100/'Нормы по школам'!C10</f>
        <v>#DIV/0!</v>
      </c>
      <c r="S9" s="132" t="e">
        <f>Q9*'Нормы по школам'!D10/'Нормы по школам'!C10</f>
        <v>#DIV/0!</v>
      </c>
      <c r="T9" s="132" t="e">
        <f>Q9*'Нормы по школам'!E10/'Нормы по школам'!C10</f>
        <v>#DIV/0!</v>
      </c>
      <c r="U9" s="132" t="e">
        <f>Q9*'Нормы по школам'!F10/'Нормы по школам'!C10</f>
        <v>#DIV/0!</v>
      </c>
      <c r="V9" s="134" t="e">
        <f>Q9*'Нормы по школам'!G10/'Нормы по школам'!C10</f>
        <v>#DIV/0!</v>
      </c>
      <c r="W9" s="127" t="e">
        <f>AVERAGE('Учреждение (1)'!W9,'Учреждение (2)'!W9,'Учреждение (3)'!W9,'Учреждение (4)'!W9,'Учреждение (5)'!W9)</f>
        <v>#DIV/0!</v>
      </c>
      <c r="X9" s="119" t="e">
        <f>W9*'Нормы по школам'!I10/'Нормы по школам'!H10</f>
        <v>#DIV/0!</v>
      </c>
      <c r="Y9" s="107" t="e">
        <f>X9/('Нормы по школам'!C10/100*35)*100</f>
        <v>#DIV/0!</v>
      </c>
      <c r="Z9" s="160" t="e">
        <f>X9*'Нормы по школам'!J10/'Нормы по школам'!I10</f>
        <v>#DIV/0!</v>
      </c>
      <c r="AA9" s="160" t="e">
        <f>X9*'Нормы по школам'!K10/'Нормы по школам'!I10</f>
        <v>#DIV/0!</v>
      </c>
      <c r="AB9" s="160" t="e">
        <f>X9*'Нормы по школам'!L10/'Нормы по школам'!I10</f>
        <v>#DIV/0!</v>
      </c>
      <c r="AC9" s="161" t="e">
        <f>X9*'Нормы по школам'!M10/'Нормы по школам'!I10</f>
        <v>#DIV/0!</v>
      </c>
      <c r="AD9" s="127" t="e">
        <f>AVERAGE('Учреждение (1)'!AD9,'Учреждение (2)'!AD9,'Учреждение (3)'!AD9,'Учреждение (4)'!AD9,'Учреждение (5)'!AD9)</f>
        <v>#DIV/0!</v>
      </c>
      <c r="AE9" s="109" t="e">
        <f>AD9*'Нормы по школам'!C10/'Нормы по школам'!B10</f>
        <v>#DIV/0!</v>
      </c>
      <c r="AF9" s="107" t="e">
        <f>AE9/('Нормы по школам'!C10/100*60)*100</f>
        <v>#DIV/0!</v>
      </c>
      <c r="AG9" s="132" t="e">
        <f>AE9*'Нормы по школам'!D10/'Нормы по школам'!C10</f>
        <v>#DIV/0!</v>
      </c>
      <c r="AH9" s="132" t="e">
        <f>AE9*'Нормы по школам'!E10/'Нормы по школам'!C10</f>
        <v>#DIV/0!</v>
      </c>
      <c r="AI9" s="132" t="e">
        <f>AE9*'Нормы по школам'!F10/'Нормы по школам'!C10</f>
        <v>#DIV/0!</v>
      </c>
      <c r="AJ9" s="133" t="e">
        <f>AE9*'Нормы по школам'!G10/'Нормы по школам'!C10</f>
        <v>#DIV/0!</v>
      </c>
      <c r="AK9" s="127" t="e">
        <f>AVERAGE('Учреждение (1)'!AK9,'Учреждение (2)'!AK9,'Учреждение (3)'!AK9,'Учреждение (4)'!AK9,'Учреждение (5)'!AK9)</f>
        <v>#DIV/0!</v>
      </c>
      <c r="AL9" s="109" t="e">
        <f>AK9*'Нормы по школам'!I10/'Нормы по школам'!H10</f>
        <v>#DIV/0!</v>
      </c>
      <c r="AM9" s="107" t="e">
        <f>AL9/('Нормы по школам'!C10/100*60)*100</f>
        <v>#DIV/0!</v>
      </c>
      <c r="AN9" s="160" t="e">
        <f>AL9*'Нормы по школам'!J10/'Нормы по школам'!I10</f>
        <v>#DIV/0!</v>
      </c>
      <c r="AO9" s="160" t="e">
        <f>AL9*'Нормы по школам'!K10/'Нормы по школам'!I10</f>
        <v>#DIV/0!</v>
      </c>
      <c r="AP9" s="160" t="e">
        <f>AL9*'Нормы по школам'!L10/'Нормы по школам'!I10</f>
        <v>#DIV/0!</v>
      </c>
      <c r="AQ9" s="161" t="e">
        <f>AL9*'Нормы по школам'!M10/'Нормы по школам'!I10</f>
        <v>#DIV/0!</v>
      </c>
    </row>
    <row r="10" spans="1:43" s="27" customFormat="1" ht="15" customHeight="1" thickBot="1">
      <c r="A10" s="140" t="s">
        <v>66</v>
      </c>
      <c r="B10" s="127">
        <f>AVERAGE('Учреждение (1)'!B10,'Учреждение (2)'!B10,'Учреждение (3)'!B10,'Учреждение (4)'!B10,'Учреждение (5)'!B10)</f>
        <v>45.1</v>
      </c>
      <c r="C10" s="119">
        <f>B10*'Нормы по школам'!C11/'Нормы по школам'!B11</f>
        <v>36.08</v>
      </c>
      <c r="D10" s="107">
        <f>B10/('Нормы по школам'!C11/100*25)*100</f>
        <v>64.428571428571431</v>
      </c>
      <c r="E10" s="132">
        <f>C10*'Нормы по школам'!D11/'Нормы по школам'!C11</f>
        <v>0.46903999999999996</v>
      </c>
      <c r="F10" s="132">
        <f>C10*'Нормы по школам'!E11/'Нормы по школам'!C11</f>
        <v>4.8106666666666666E-2</v>
      </c>
      <c r="G10" s="132">
        <f>C10*'Нормы по школам'!F11/'Нормы по школам'!C11</f>
        <v>2.0625733333333334</v>
      </c>
      <c r="H10" s="133">
        <f>C10*'Нормы по школам'!G11/'Нормы по школам'!C11</f>
        <v>10.884133333333333</v>
      </c>
      <c r="I10" s="127">
        <f>AVERAGE('Учреждение (1)'!I10,'Учреждение (2)'!I10,'Учреждение (3)'!I10,'Учреждение (4)'!I10,'Учреждение (5)'!I10)</f>
        <v>50.1</v>
      </c>
      <c r="J10" s="109">
        <f>I10*'Нормы по школам'!I11/'Нормы по школам'!H11</f>
        <v>40.08</v>
      </c>
      <c r="K10" s="107">
        <f>J10/('Нормы по школам'!C11/100*25)*100</f>
        <v>57.257142857142853</v>
      </c>
      <c r="L10" s="160">
        <f>J10*'Нормы по школам'!J11/'Нормы по школам'!I11</f>
        <v>0.52103999999999995</v>
      </c>
      <c r="M10" s="160">
        <f>J10*'Нормы по школам'!K11/'Нормы по школам'!I11</f>
        <v>5.3440000000000001E-2</v>
      </c>
      <c r="N10" s="160">
        <f>J10*'Нормы по школам'!L11/'Нормы по школам'!I11</f>
        <v>2.2912399999999997</v>
      </c>
      <c r="O10" s="161">
        <f>J10*'Нормы по школам'!M11/'Нормы по школам'!I11</f>
        <v>12.090799999999998</v>
      </c>
      <c r="P10" s="127" t="e">
        <f>AVERAGE('Учреждение (1)'!P10,'Учреждение (2)'!P10,'Учреждение (3)'!P10,'Учреждение (4)'!P10,'Учреждение (5)'!P10)</f>
        <v>#DIV/0!</v>
      </c>
      <c r="Q10" s="109" t="e">
        <f>P10*'Нормы по школам'!C11/'Нормы по школам'!B11</f>
        <v>#DIV/0!</v>
      </c>
      <c r="R10" s="131" t="e">
        <f>Q10*100/'Нормы по школам'!C11</f>
        <v>#DIV/0!</v>
      </c>
      <c r="S10" s="132" t="e">
        <f>Q10*'Нормы по школам'!D11/'Нормы по школам'!C11</f>
        <v>#DIV/0!</v>
      </c>
      <c r="T10" s="132" t="e">
        <f>Q10*'Нормы по школам'!E11/'Нормы по школам'!C11</f>
        <v>#DIV/0!</v>
      </c>
      <c r="U10" s="132" t="e">
        <f>Q10*'Нормы по школам'!F11/'Нормы по школам'!C11</f>
        <v>#DIV/0!</v>
      </c>
      <c r="V10" s="134" t="e">
        <f>Q10*'Нормы по школам'!G11/'Нормы по школам'!C11</f>
        <v>#DIV/0!</v>
      </c>
      <c r="W10" s="127" t="e">
        <f>AVERAGE('Учреждение (1)'!W10,'Учреждение (2)'!W10,'Учреждение (3)'!W10,'Учреждение (4)'!W10,'Учреждение (5)'!W10)</f>
        <v>#DIV/0!</v>
      </c>
      <c r="X10" s="119" t="e">
        <f>W10*'Нормы по школам'!I11/'Нормы по школам'!H11</f>
        <v>#DIV/0!</v>
      </c>
      <c r="Y10" s="107" t="e">
        <f>X10/('Нормы по школам'!C11/100*35)*100</f>
        <v>#DIV/0!</v>
      </c>
      <c r="Z10" s="160" t="e">
        <f>X10*'Нормы по школам'!J11/'Нормы по школам'!I11</f>
        <v>#DIV/0!</v>
      </c>
      <c r="AA10" s="160" t="e">
        <f>X10*'Нормы по школам'!K11/'Нормы по школам'!I11</f>
        <v>#DIV/0!</v>
      </c>
      <c r="AB10" s="160" t="e">
        <f>X10*'Нормы по школам'!L11/'Нормы по школам'!I11</f>
        <v>#DIV/0!</v>
      </c>
      <c r="AC10" s="161" t="e">
        <f>X10*'Нормы по школам'!M11/'Нормы по школам'!I11</f>
        <v>#DIV/0!</v>
      </c>
      <c r="AD10" s="127" t="e">
        <f>AVERAGE('Учреждение (1)'!AD10,'Учреждение (2)'!AD10,'Учреждение (3)'!AD10,'Учреждение (4)'!AD10,'Учреждение (5)'!AD10)</f>
        <v>#DIV/0!</v>
      </c>
      <c r="AE10" s="109" t="e">
        <f>AD10*'Нормы по школам'!C11/'Нормы по школам'!B11</f>
        <v>#DIV/0!</v>
      </c>
      <c r="AF10" s="107" t="e">
        <f>AE10/('Нормы по школам'!C11/100*60)*100</f>
        <v>#DIV/0!</v>
      </c>
      <c r="AG10" s="132" t="e">
        <f>AE10*'Нормы по школам'!D11/'Нормы по школам'!C11</f>
        <v>#DIV/0!</v>
      </c>
      <c r="AH10" s="132" t="e">
        <f>AE10*'Нормы по школам'!E11/'Нормы по школам'!C11</f>
        <v>#DIV/0!</v>
      </c>
      <c r="AI10" s="132" t="e">
        <f>AE10*'Нормы по школам'!F11/'Нормы по школам'!C11</f>
        <v>#DIV/0!</v>
      </c>
      <c r="AJ10" s="133" t="e">
        <f>AE10*'Нормы по школам'!G11/'Нормы по школам'!C11</f>
        <v>#DIV/0!</v>
      </c>
      <c r="AK10" s="127" t="e">
        <f>AVERAGE('Учреждение (1)'!AK10,'Учреждение (2)'!AK10,'Учреждение (3)'!AK10,'Учреждение (4)'!AK10,'Учреждение (5)'!AK10)</f>
        <v>#DIV/0!</v>
      </c>
      <c r="AL10" s="109" t="e">
        <f>AK10*'Нормы по школам'!I11/'Нормы по школам'!H11</f>
        <v>#DIV/0!</v>
      </c>
      <c r="AM10" s="107" t="e">
        <f>AL10/('Нормы по школам'!C11/100*60)*100</f>
        <v>#DIV/0!</v>
      </c>
      <c r="AN10" s="160" t="e">
        <f>AL10*'Нормы по школам'!J11/'Нормы по школам'!I11</f>
        <v>#DIV/0!</v>
      </c>
      <c r="AO10" s="160" t="e">
        <f>AL10*'Нормы по школам'!K11/'Нормы по школам'!I11</f>
        <v>#DIV/0!</v>
      </c>
      <c r="AP10" s="160" t="e">
        <f>AL10*'Нормы по школам'!L11/'Нормы по школам'!I11</f>
        <v>#DIV/0!</v>
      </c>
      <c r="AQ10" s="161" t="e">
        <f>AL10*'Нормы по школам'!M11/'Нормы по школам'!I11</f>
        <v>#DIV/0!</v>
      </c>
    </row>
    <row r="11" spans="1:43" s="27" customFormat="1" ht="15" customHeight="1" thickBot="1">
      <c r="A11" s="140" t="s">
        <v>67</v>
      </c>
      <c r="B11" s="127">
        <f>AVERAGE('Учреждение (1)'!B11,'Учреждение (2)'!B11,'Учреждение (3)'!B11,'Учреждение (4)'!B11,'Учреждение (5)'!B11)</f>
        <v>27</v>
      </c>
      <c r="C11" s="119">
        <f>B11*'Нормы по школам'!C12/'Нормы по школам'!B12</f>
        <v>24.975000000000001</v>
      </c>
      <c r="D11" s="107">
        <f>B11/('Нормы по школам'!C12/100*25)*100</f>
        <v>58.378378378378379</v>
      </c>
      <c r="E11" s="132">
        <f>C11*'Нормы по школам'!D12/'Нормы по школам'!C12</f>
        <v>0.2331</v>
      </c>
      <c r="F11" s="132">
        <f>C11*'Нормы по школам'!E12/'Нормы по школам'!C12</f>
        <v>9.1575000000000017E-2</v>
      </c>
      <c r="G11" s="132">
        <f>C11*'Нормы по школам'!F12/'Нормы по школам'!C12</f>
        <v>3.2384250000000003</v>
      </c>
      <c r="H11" s="133">
        <f>C11*'Нормы по школам'!G12/'Нормы по школам'!C12</f>
        <v>15.484500000000001</v>
      </c>
      <c r="I11" s="127">
        <f>AVERAGE('Учреждение (1)'!I11,'Учреждение (2)'!I11,'Учреждение (3)'!I11,'Учреждение (4)'!I11,'Учреждение (5)'!I11)</f>
        <v>24.5</v>
      </c>
      <c r="J11" s="109">
        <f>I11*'Нормы по школам'!I12/'Нормы по школам'!H12</f>
        <v>22.662500000000001</v>
      </c>
      <c r="K11" s="107">
        <f>J11/('Нормы по школам'!C12/100*25)*100</f>
        <v>49.000000000000007</v>
      </c>
      <c r="L11" s="160">
        <f>J11*'Нормы по школам'!J12/'Нормы по школам'!I12</f>
        <v>0.21151666666666666</v>
      </c>
      <c r="M11" s="160">
        <f>J11*'Нормы по школам'!K12/'Нормы по школам'!I12</f>
        <v>8.3095833333333355E-2</v>
      </c>
      <c r="N11" s="160">
        <f>J11*'Нормы по школам'!L12/'Нормы по школам'!I12</f>
        <v>2.9385708333333334</v>
      </c>
      <c r="O11" s="161">
        <f>J11*'Нормы по школам'!M12/'Нормы по школам'!I12</f>
        <v>14.050750000000001</v>
      </c>
      <c r="P11" s="127" t="e">
        <f>AVERAGE('Учреждение (1)'!P11,'Учреждение (2)'!P11,'Учреждение (3)'!P11,'Учреждение (4)'!P11,'Учреждение (5)'!P11)</f>
        <v>#DIV/0!</v>
      </c>
      <c r="Q11" s="109" t="e">
        <f>P11*'Нормы по школам'!C12/'Нормы по школам'!B12</f>
        <v>#DIV/0!</v>
      </c>
      <c r="R11" s="131" t="e">
        <f>Q11*100/'Нормы по школам'!C12</f>
        <v>#DIV/0!</v>
      </c>
      <c r="S11" s="132" t="e">
        <f>Q11*'Нормы по школам'!D12/'Нормы по школам'!C12</f>
        <v>#DIV/0!</v>
      </c>
      <c r="T11" s="132" t="e">
        <f>Q11*'Нормы по школам'!E12/'Нормы по школам'!C12</f>
        <v>#DIV/0!</v>
      </c>
      <c r="U11" s="132" t="e">
        <f>Q11*'Нормы по школам'!F12/'Нормы по школам'!C12</f>
        <v>#DIV/0!</v>
      </c>
      <c r="V11" s="134" t="e">
        <f>Q11*'Нормы по школам'!G12/'Нормы по школам'!C12</f>
        <v>#DIV/0!</v>
      </c>
      <c r="W11" s="127" t="e">
        <f>AVERAGE('Учреждение (1)'!W11,'Учреждение (2)'!W11,'Учреждение (3)'!W11,'Учреждение (4)'!W11,'Учреждение (5)'!W11)</f>
        <v>#DIV/0!</v>
      </c>
      <c r="X11" s="119" t="e">
        <f>W11*'Нормы по школам'!I12/'Нормы по школам'!H12</f>
        <v>#DIV/0!</v>
      </c>
      <c r="Y11" s="107" t="e">
        <f>X11/('Нормы по школам'!C12/100*35)*100</f>
        <v>#DIV/0!</v>
      </c>
      <c r="Z11" s="160" t="e">
        <f>X11*'Нормы по школам'!J12/'Нормы по школам'!I12</f>
        <v>#DIV/0!</v>
      </c>
      <c r="AA11" s="160" t="e">
        <f>X11*'Нормы по школам'!K12/'Нормы по школам'!I12</f>
        <v>#DIV/0!</v>
      </c>
      <c r="AB11" s="160" t="e">
        <f>X11*'Нормы по школам'!L12/'Нормы по школам'!I12</f>
        <v>#DIV/0!</v>
      </c>
      <c r="AC11" s="161" t="e">
        <f>X11*'Нормы по школам'!M12/'Нормы по школам'!I12</f>
        <v>#DIV/0!</v>
      </c>
      <c r="AD11" s="127" t="e">
        <f>AVERAGE('Учреждение (1)'!AD11,'Учреждение (2)'!AD11,'Учреждение (3)'!AD11,'Учреждение (4)'!AD11,'Учреждение (5)'!AD11)</f>
        <v>#DIV/0!</v>
      </c>
      <c r="AE11" s="109" t="e">
        <f>AD11*'Нормы по школам'!C12/'Нормы по школам'!B12</f>
        <v>#DIV/0!</v>
      </c>
      <c r="AF11" s="107" t="e">
        <f>AE11/('Нормы по школам'!C12/100*60)*100</f>
        <v>#DIV/0!</v>
      </c>
      <c r="AG11" s="132" t="e">
        <f>AE11*'Нормы по школам'!D12/'Нормы по школам'!C12</f>
        <v>#DIV/0!</v>
      </c>
      <c r="AH11" s="132" t="e">
        <f>AE11*'Нормы по школам'!E12/'Нормы по школам'!C12</f>
        <v>#DIV/0!</v>
      </c>
      <c r="AI11" s="132" t="e">
        <f>AE11*'Нормы по школам'!F12/'Нормы по школам'!C12</f>
        <v>#DIV/0!</v>
      </c>
      <c r="AJ11" s="133" t="e">
        <f>AE11*'Нормы по школам'!G12/'Нормы по школам'!C12</f>
        <v>#DIV/0!</v>
      </c>
      <c r="AK11" s="127" t="e">
        <f>AVERAGE('Учреждение (1)'!AK11,'Учреждение (2)'!AK11,'Учреждение (3)'!AK11,'Учреждение (4)'!AK11,'Учреждение (5)'!AK11)</f>
        <v>#DIV/0!</v>
      </c>
      <c r="AL11" s="109" t="e">
        <f>AK11*'Нормы по школам'!I12/'Нормы по школам'!H12</f>
        <v>#DIV/0!</v>
      </c>
      <c r="AM11" s="107" t="e">
        <f>AL11/('Нормы по школам'!C12/100*60)*100</f>
        <v>#DIV/0!</v>
      </c>
      <c r="AN11" s="160" t="e">
        <f>AL11*'Нормы по школам'!J12/'Нормы по школам'!I12</f>
        <v>#DIV/0!</v>
      </c>
      <c r="AO11" s="160" t="e">
        <f>AL11*'Нормы по школам'!K12/'Нормы по школам'!I12</f>
        <v>#DIV/0!</v>
      </c>
      <c r="AP11" s="160" t="e">
        <f>AL11*'Нормы по школам'!L12/'Нормы по школам'!I12</f>
        <v>#DIV/0!</v>
      </c>
      <c r="AQ11" s="161" t="e">
        <f>AL11*'Нормы по школам'!M12/'Нормы по школам'!I12</f>
        <v>#DIV/0!</v>
      </c>
    </row>
    <row r="12" spans="1:43" s="27" customFormat="1" ht="15" customHeight="1" thickBot="1">
      <c r="A12" s="140" t="s">
        <v>68</v>
      </c>
      <c r="B12" s="127">
        <f>AVERAGE('Учреждение (1)'!B12,'Учреждение (2)'!B12,'Учреждение (3)'!B12,'Учреждение (4)'!B12,'Учреждение (5)'!B12)</f>
        <v>3.8</v>
      </c>
      <c r="C12" s="119">
        <f t="shared" si="0"/>
        <v>3.8</v>
      </c>
      <c r="D12" s="107">
        <f>B12/('Нормы по школам'!C13/100*25)*100</f>
        <v>101.33333333333331</v>
      </c>
      <c r="E12" s="132">
        <f>C12*'Нормы по школам'!D13/'Нормы по школам'!C13</f>
        <v>0.11704000000000002</v>
      </c>
      <c r="F12" s="132">
        <f>C12*'Нормы по школам'!E13/'Нормы по школам'!C13</f>
        <v>2.2799999999999997E-2</v>
      </c>
      <c r="G12" s="132">
        <f>C12*'Нормы по школам'!F13/'Нормы по школам'!C13</f>
        <v>2.1401600000000003</v>
      </c>
      <c r="H12" s="133">
        <f>C12*'Нормы по школам'!G13/'Нормы по школам'!C13</f>
        <v>9.9255999999999993</v>
      </c>
      <c r="I12" s="127">
        <f>AVERAGE('Учреждение (1)'!I12,'Учреждение (2)'!I12,'Учреждение (3)'!I12,'Учреждение (4)'!I12,'Учреждение (5)'!I12)</f>
        <v>4.7</v>
      </c>
      <c r="J12" s="109">
        <f t="shared" si="1"/>
        <v>4.7</v>
      </c>
      <c r="K12" s="107">
        <f>J12/('Нормы по школам'!C13/100*25)*100</f>
        <v>125.33333333333334</v>
      </c>
      <c r="L12" s="160">
        <f>J12*'Нормы по школам'!J13/'Нормы по школам'!I13</f>
        <v>0.14476000000000003</v>
      </c>
      <c r="M12" s="160">
        <f>J12*'Нормы по школам'!K13/'Нормы по школам'!I13</f>
        <v>2.8199999999999996E-2</v>
      </c>
      <c r="N12" s="160">
        <f>J12*'Нормы по школам'!L13/'Нормы по школам'!I13</f>
        <v>2.6470399999999996</v>
      </c>
      <c r="O12" s="161">
        <f>J12*'Нормы по школам'!M13/'Нормы по школам'!I13</f>
        <v>12.276400000000001</v>
      </c>
      <c r="P12" s="127" t="e">
        <f>AVERAGE('Учреждение (1)'!P12,'Учреждение (2)'!P12,'Учреждение (3)'!P12,'Учреждение (4)'!P12,'Учреждение (5)'!P12)</f>
        <v>#DIV/0!</v>
      </c>
      <c r="Q12" s="109" t="e">
        <f>P12</f>
        <v>#DIV/0!</v>
      </c>
      <c r="R12" s="131" t="e">
        <f>Q12*100/'Нормы по школам'!C13</f>
        <v>#DIV/0!</v>
      </c>
      <c r="S12" s="132" t="e">
        <f>Q12*'Нормы по школам'!D13/'Нормы по школам'!C13</f>
        <v>#DIV/0!</v>
      </c>
      <c r="T12" s="132" t="e">
        <f>Q12*'Нормы по школам'!E13/'Нормы по школам'!C13</f>
        <v>#DIV/0!</v>
      </c>
      <c r="U12" s="132" t="e">
        <f>Q12*'Нормы по школам'!F13/'Нормы по школам'!C13</f>
        <v>#DIV/0!</v>
      </c>
      <c r="V12" s="134" t="e">
        <f>Q12*'Нормы по школам'!G13/'Нормы по школам'!C13</f>
        <v>#DIV/0!</v>
      </c>
      <c r="W12" s="127" t="e">
        <f>AVERAGE('Учреждение (1)'!W12,'Учреждение (2)'!W12,'Учреждение (3)'!W12,'Учреждение (4)'!W12,'Учреждение (5)'!W12)</f>
        <v>#DIV/0!</v>
      </c>
      <c r="X12" s="119" t="e">
        <f t="shared" si="2"/>
        <v>#DIV/0!</v>
      </c>
      <c r="Y12" s="107" t="e">
        <f>X12/('Нормы по школам'!C13/100*35)*100</f>
        <v>#DIV/0!</v>
      </c>
      <c r="Z12" s="160" t="e">
        <f>X12*'Нормы по школам'!J13/'Нормы по школам'!I13</f>
        <v>#DIV/0!</v>
      </c>
      <c r="AA12" s="160" t="e">
        <f>X12*'Нормы по школам'!K13/'Нормы по школам'!I13</f>
        <v>#DIV/0!</v>
      </c>
      <c r="AB12" s="160" t="e">
        <f>X12*'Нормы по школам'!L13/'Нормы по школам'!I13</f>
        <v>#DIV/0!</v>
      </c>
      <c r="AC12" s="161" t="e">
        <f>X12*'Нормы по школам'!M13/'Нормы по школам'!I13</f>
        <v>#DIV/0!</v>
      </c>
      <c r="AD12" s="127" t="e">
        <f>AVERAGE('Учреждение (1)'!AD12,'Учреждение (2)'!AD12,'Учреждение (3)'!AD12,'Учреждение (4)'!AD12,'Учреждение (5)'!AD12)</f>
        <v>#DIV/0!</v>
      </c>
      <c r="AE12" s="109" t="e">
        <f>AD12</f>
        <v>#DIV/0!</v>
      </c>
      <c r="AF12" s="107" t="e">
        <f>AE12/('Нормы по школам'!C13/100*60)*100</f>
        <v>#DIV/0!</v>
      </c>
      <c r="AG12" s="132" t="e">
        <f>AE12*'Нормы по школам'!D13/'Нормы по школам'!C13</f>
        <v>#DIV/0!</v>
      </c>
      <c r="AH12" s="132" t="e">
        <f>AE12*'Нормы по школам'!E13/'Нормы по школам'!C13</f>
        <v>#DIV/0!</v>
      </c>
      <c r="AI12" s="132" t="e">
        <f>AE12*'Нормы по школам'!F13/'Нормы по школам'!C13</f>
        <v>#DIV/0!</v>
      </c>
      <c r="AJ12" s="133" t="e">
        <f>AE12*'Нормы по школам'!G13/'Нормы по школам'!C13</f>
        <v>#DIV/0!</v>
      </c>
      <c r="AK12" s="127" t="e">
        <f>AVERAGE('Учреждение (1)'!AK12,'Учреждение (2)'!AK12,'Учреждение (3)'!AK12,'Учреждение (4)'!AK12,'Учреждение (5)'!AK12)</f>
        <v>#DIV/0!</v>
      </c>
      <c r="AL12" s="109" t="e">
        <f t="shared" si="3"/>
        <v>#DIV/0!</v>
      </c>
      <c r="AM12" s="107" t="e">
        <f>AL12/('Нормы по школам'!C13/100*60)*100</f>
        <v>#DIV/0!</v>
      </c>
      <c r="AN12" s="160" t="e">
        <f>AL12*'Нормы по школам'!J13/'Нормы по школам'!I13</f>
        <v>#DIV/0!</v>
      </c>
      <c r="AO12" s="160" t="e">
        <f>AL12*'Нормы по школам'!K13/'Нормы по школам'!I13</f>
        <v>#DIV/0!</v>
      </c>
      <c r="AP12" s="160" t="e">
        <f>AL12*'Нормы по школам'!L13/'Нормы по школам'!I13</f>
        <v>#DIV/0!</v>
      </c>
      <c r="AQ12" s="161" t="e">
        <f>AL12*'Нормы по школам'!M13/'Нормы по школам'!I13</f>
        <v>#DIV/0!</v>
      </c>
    </row>
    <row r="13" spans="1:43" s="27" customFormat="1" ht="15" customHeight="1" thickBot="1">
      <c r="A13" s="141" t="s">
        <v>69</v>
      </c>
      <c r="B13" s="127">
        <f>AVERAGE('Учреждение (1)'!B13,'Учреждение (2)'!B13,'Учреждение (3)'!B13,'Учреждение (4)'!B13,'Учреждение (5)'!B13)</f>
        <v>28.7</v>
      </c>
      <c r="C13" s="119">
        <f t="shared" si="0"/>
        <v>28.7</v>
      </c>
      <c r="D13" s="107">
        <f>B13/('Нормы по школам'!C14/100*25)*100</f>
        <v>57.4</v>
      </c>
      <c r="E13" s="132">
        <f>C13*'Нормы по школам'!D14/'Нормы по школам'!C14</f>
        <v>0.17219999999999999</v>
      </c>
      <c r="F13" s="132">
        <f>C13*'Нормы по школам'!E14/'Нормы по школам'!C14</f>
        <v>2.87E-2</v>
      </c>
      <c r="G13" s="132">
        <f>C13*'Нормы по школам'!F14/'Нормы по школам'!C14</f>
        <v>3.3435499999999996</v>
      </c>
      <c r="H13" s="133">
        <f>C13*'Нормы по школам'!G14/'Нормы по школам'!C14</f>
        <v>15.210999999999999</v>
      </c>
      <c r="I13" s="127">
        <f>AVERAGE('Учреждение (1)'!I13,'Учреждение (2)'!I13,'Учреждение (3)'!I13,'Учреждение (4)'!I13,'Учреждение (5)'!I13)</f>
        <v>25.9</v>
      </c>
      <c r="J13" s="109">
        <f t="shared" si="1"/>
        <v>25.9</v>
      </c>
      <c r="K13" s="107">
        <f>J13/('Нормы по школам'!C14/100*25)*100</f>
        <v>51.800000000000004</v>
      </c>
      <c r="L13" s="160">
        <f>J13*'Нормы по школам'!J14/'Нормы по школам'!I14</f>
        <v>0.15539999999999998</v>
      </c>
      <c r="M13" s="160">
        <f>J13*'Нормы по школам'!K14/'Нормы по школам'!I14</f>
        <v>2.5899999999999999E-2</v>
      </c>
      <c r="N13" s="160">
        <f>J13*'Нормы по школам'!L14/'Нормы по школам'!I14</f>
        <v>3.0173499999999995</v>
      </c>
      <c r="O13" s="161">
        <f>J13*'Нормы по школам'!M14/'Нормы по школам'!I14</f>
        <v>13.726999999999999</v>
      </c>
      <c r="P13" s="127" t="e">
        <f>AVERAGE('Учреждение (1)'!P13,'Учреждение (2)'!P13,'Учреждение (3)'!P13,'Учреждение (4)'!P13,'Учреждение (5)'!P13)</f>
        <v>#DIV/0!</v>
      </c>
      <c r="Q13" s="109" t="e">
        <f>P13</f>
        <v>#DIV/0!</v>
      </c>
      <c r="R13" s="131" t="e">
        <f>Q13*100/'Нормы по школам'!C14</f>
        <v>#DIV/0!</v>
      </c>
      <c r="S13" s="132" t="e">
        <f>Q13*'Нормы по школам'!D14/'Нормы по школам'!C14</f>
        <v>#DIV/0!</v>
      </c>
      <c r="T13" s="132" t="e">
        <f>Q13*'Нормы по школам'!E14/'Нормы по школам'!C14</f>
        <v>#DIV/0!</v>
      </c>
      <c r="U13" s="132" t="e">
        <f>Q13*'Нормы по школам'!F14/'Нормы по школам'!C14</f>
        <v>#DIV/0!</v>
      </c>
      <c r="V13" s="134" t="e">
        <f>Q13*'Нормы по школам'!G14/'Нормы по школам'!C14</f>
        <v>#DIV/0!</v>
      </c>
      <c r="W13" s="127" t="e">
        <f>AVERAGE('Учреждение (1)'!W13,'Учреждение (2)'!W13,'Учреждение (3)'!W13,'Учреждение (4)'!W13,'Учреждение (5)'!W13)</f>
        <v>#DIV/0!</v>
      </c>
      <c r="X13" s="119" t="e">
        <f t="shared" si="2"/>
        <v>#DIV/0!</v>
      </c>
      <c r="Y13" s="107" t="e">
        <f>X13/('Нормы по школам'!C14/100*35)*100</f>
        <v>#DIV/0!</v>
      </c>
      <c r="Z13" s="160" t="e">
        <f>X13*'Нормы по школам'!J14/'Нормы по школам'!I14</f>
        <v>#DIV/0!</v>
      </c>
      <c r="AA13" s="160" t="e">
        <f>X13*'Нормы по школам'!K14/'Нормы по школам'!I14</f>
        <v>#DIV/0!</v>
      </c>
      <c r="AB13" s="160" t="e">
        <f>X13*'Нормы по школам'!L14/'Нормы по школам'!I14</f>
        <v>#DIV/0!</v>
      </c>
      <c r="AC13" s="161" t="e">
        <f>X13*'Нормы по школам'!M14/'Нормы по школам'!I14</f>
        <v>#DIV/0!</v>
      </c>
      <c r="AD13" s="127" t="e">
        <f>AVERAGE('Учреждение (1)'!AD13,'Учреждение (2)'!AD13,'Учреждение (3)'!AD13,'Учреждение (4)'!AD13,'Учреждение (5)'!AD13)</f>
        <v>#DIV/0!</v>
      </c>
      <c r="AE13" s="109" t="e">
        <f>AD13</f>
        <v>#DIV/0!</v>
      </c>
      <c r="AF13" s="107" t="e">
        <f>AE13/('Нормы по школам'!C14/100*60)*100</f>
        <v>#DIV/0!</v>
      </c>
      <c r="AG13" s="132" t="e">
        <f>AE13*'Нормы по школам'!D14/'Нормы по школам'!C14</f>
        <v>#DIV/0!</v>
      </c>
      <c r="AH13" s="132" t="e">
        <f>AE13*'Нормы по школам'!E14/'Нормы по школам'!C14</f>
        <v>#DIV/0!</v>
      </c>
      <c r="AI13" s="132" t="e">
        <f>AE13*'Нормы по школам'!F14/'Нормы по школам'!C14</f>
        <v>#DIV/0!</v>
      </c>
      <c r="AJ13" s="133" t="e">
        <f>AE13*'Нормы по школам'!G14/'Нормы по школам'!C14</f>
        <v>#DIV/0!</v>
      </c>
      <c r="AK13" s="127" t="e">
        <f>AVERAGE('Учреждение (1)'!AK13,'Учреждение (2)'!AK13,'Учреждение (3)'!AK13,'Учреждение (4)'!AK13,'Учреждение (5)'!AK13)</f>
        <v>#DIV/0!</v>
      </c>
      <c r="AL13" s="109" t="e">
        <f t="shared" si="3"/>
        <v>#DIV/0!</v>
      </c>
      <c r="AM13" s="107" t="e">
        <f>AL13/('Нормы по школам'!C14/100*60)*100</f>
        <v>#DIV/0!</v>
      </c>
      <c r="AN13" s="160" t="e">
        <f>AL13*'Нормы по школам'!J14/'Нормы по школам'!I14</f>
        <v>#DIV/0!</v>
      </c>
      <c r="AO13" s="160" t="e">
        <f>AL13*'Нормы по школам'!K14/'Нормы по школам'!I14</f>
        <v>#DIV/0!</v>
      </c>
      <c r="AP13" s="160" t="e">
        <f>AL13*'Нормы по школам'!L14/'Нормы по школам'!I14</f>
        <v>#DIV/0!</v>
      </c>
      <c r="AQ13" s="161" t="e">
        <f>AL13*'Нормы по школам'!M14/'Нормы по школам'!I14</f>
        <v>#DIV/0!</v>
      </c>
    </row>
    <row r="14" spans="1:43" s="27" customFormat="1" ht="15" customHeight="1" thickBot="1">
      <c r="A14" s="140" t="s">
        <v>70</v>
      </c>
      <c r="B14" s="127">
        <f>AVERAGE('Учреждение (1)'!B14,'Учреждение (2)'!B14,'Учреждение (3)'!B14,'Учреждение (4)'!B14,'Учреждение (5)'!B14)</f>
        <v>29.1</v>
      </c>
      <c r="C14" s="119">
        <f>B14*'Нормы по школам'!C15/'Нормы по школам'!B15</f>
        <v>26.454545454545453</v>
      </c>
      <c r="D14" s="107">
        <f>B14/('Нормы по школам'!C15/100*25)*100</f>
        <v>166.28571428571431</v>
      </c>
      <c r="E14" s="132">
        <f>C14*'Нормы по школам'!D15/'Нормы по школам'!C15</f>
        <v>4.9205454545454543</v>
      </c>
      <c r="F14" s="132">
        <f>C14*'Нормы по школам'!E15/'Нормы по школам'!C15</f>
        <v>4.2327272727272724</v>
      </c>
      <c r="G14" s="132">
        <f>C14*'Нормы по школам'!F15/'Нормы по школам'!C15</f>
        <v>0</v>
      </c>
      <c r="H14" s="133">
        <f>C14*'Нормы по школам'!G15/'Нормы по школам'!C15</f>
        <v>57.670909090909085</v>
      </c>
      <c r="I14" s="127">
        <f>AVERAGE('Учреждение (1)'!I14,'Учреждение (2)'!I14,'Учреждение (3)'!I14,'Учреждение (4)'!I14,'Учреждение (5)'!I14)</f>
        <v>31.3</v>
      </c>
      <c r="J14" s="109">
        <f>I14*'Нормы по школам'!I15/'Нормы по школам'!H15</f>
        <v>28.388372093023257</v>
      </c>
      <c r="K14" s="107">
        <f>J14/('Нормы по школам'!C15/100*25)*100</f>
        <v>162.21926910299004</v>
      </c>
      <c r="L14" s="160">
        <f>J14*'Нормы по школам'!J15/'Нормы по школам'!I15</f>
        <v>5.2802372093023262</v>
      </c>
      <c r="M14" s="160">
        <f>J14*'Нормы по школам'!K15/'Нормы по школам'!I15</f>
        <v>4.542139534883721</v>
      </c>
      <c r="N14" s="160">
        <f>J14*'Нормы по школам'!L15/'Нормы по школам'!I15</f>
        <v>0</v>
      </c>
      <c r="O14" s="161">
        <f>J14*'Нормы по школам'!M15/'Нормы по школам'!I15</f>
        <v>61.886651162790699</v>
      </c>
      <c r="P14" s="127" t="e">
        <f>AVERAGE('Учреждение (1)'!P14,'Учреждение (2)'!P14,'Учреждение (3)'!P14,'Учреждение (4)'!P14,'Учреждение (5)'!P14)</f>
        <v>#DIV/0!</v>
      </c>
      <c r="Q14" s="109" t="e">
        <f>P14*'Нормы по школам'!C15/'Нормы по школам'!B15</f>
        <v>#DIV/0!</v>
      </c>
      <c r="R14" s="131" t="e">
        <f>Q14*100/'Нормы по школам'!C15</f>
        <v>#DIV/0!</v>
      </c>
      <c r="S14" s="132" t="e">
        <f>Q14*'Нормы по школам'!D15/'Нормы по школам'!C15</f>
        <v>#DIV/0!</v>
      </c>
      <c r="T14" s="132" t="e">
        <f>Q14*'Нормы по школам'!E15/'Нормы по школам'!C15</f>
        <v>#DIV/0!</v>
      </c>
      <c r="U14" s="132" t="e">
        <f>Q14*'Нормы по школам'!F15/'Нормы по школам'!C15</f>
        <v>#DIV/0!</v>
      </c>
      <c r="V14" s="134" t="e">
        <f>Q14*'Нормы по школам'!G15/'Нормы по школам'!C15</f>
        <v>#DIV/0!</v>
      </c>
      <c r="W14" s="127" t="e">
        <f>AVERAGE('Учреждение (1)'!W14,'Учреждение (2)'!W14,'Учреждение (3)'!W14,'Учреждение (4)'!W14,'Учреждение (5)'!W14)</f>
        <v>#DIV/0!</v>
      </c>
      <c r="X14" s="119" t="e">
        <f>W14*'Нормы по школам'!I15/'Нормы по школам'!H15</f>
        <v>#DIV/0!</v>
      </c>
      <c r="Y14" s="107" t="e">
        <f>X14/('Нормы по школам'!C15/100*35)*100</f>
        <v>#DIV/0!</v>
      </c>
      <c r="Z14" s="160" t="e">
        <f>X14*'Нормы по школам'!J15/'Нормы по школам'!I15</f>
        <v>#DIV/0!</v>
      </c>
      <c r="AA14" s="160" t="e">
        <f>X14*'Нормы по школам'!K15/'Нормы по школам'!I15</f>
        <v>#DIV/0!</v>
      </c>
      <c r="AB14" s="160" t="e">
        <f>X14*'Нормы по школам'!L15/'Нормы по школам'!I15</f>
        <v>#DIV/0!</v>
      </c>
      <c r="AC14" s="161" t="e">
        <f>X14*'Нормы по школам'!M15/'Нормы по школам'!I15</f>
        <v>#DIV/0!</v>
      </c>
      <c r="AD14" s="127" t="e">
        <f>AVERAGE('Учреждение (1)'!AD14,'Учреждение (2)'!AD14,'Учреждение (3)'!AD14,'Учреждение (4)'!AD14,'Учреждение (5)'!AD14)</f>
        <v>#DIV/0!</v>
      </c>
      <c r="AE14" s="109" t="e">
        <f>AD14*'Нормы по школам'!C15/'Нормы по школам'!B15</f>
        <v>#DIV/0!</v>
      </c>
      <c r="AF14" s="107" t="e">
        <f>AE14/('Нормы по школам'!C15/100*60)*100</f>
        <v>#DIV/0!</v>
      </c>
      <c r="AG14" s="132" t="e">
        <f>AE14*'Нормы по школам'!D15/'Нормы по школам'!C15</f>
        <v>#DIV/0!</v>
      </c>
      <c r="AH14" s="132" t="e">
        <f>AE14*'Нормы по школам'!E15/'Нормы по школам'!C15</f>
        <v>#DIV/0!</v>
      </c>
      <c r="AI14" s="132" t="e">
        <f>AE14*'Нормы по школам'!F15/'Нормы по школам'!C15</f>
        <v>#DIV/0!</v>
      </c>
      <c r="AJ14" s="133" t="e">
        <f>AE14*'Нормы по школам'!G15/'Нормы по школам'!C15</f>
        <v>#DIV/0!</v>
      </c>
      <c r="AK14" s="127" t="e">
        <f>AVERAGE('Учреждение (1)'!AK14,'Учреждение (2)'!AK14,'Учреждение (3)'!AK14,'Учреждение (4)'!AK14,'Учреждение (5)'!AK14)</f>
        <v>#DIV/0!</v>
      </c>
      <c r="AL14" s="109" t="e">
        <f>AK14*'Нормы по школам'!I15/'Нормы по школам'!H15</f>
        <v>#DIV/0!</v>
      </c>
      <c r="AM14" s="107" t="e">
        <f>AL14/('Нормы по школам'!C15/100*60)*100</f>
        <v>#DIV/0!</v>
      </c>
      <c r="AN14" s="160" t="e">
        <f>AL14*'Нормы по школам'!J15/'Нормы по школам'!I15</f>
        <v>#DIV/0!</v>
      </c>
      <c r="AO14" s="160" t="e">
        <f>AL14*'Нормы по школам'!K15/'Нормы по школам'!I15</f>
        <v>#DIV/0!</v>
      </c>
      <c r="AP14" s="160" t="e">
        <f>AL14*'Нормы по школам'!L15/'Нормы по школам'!I15</f>
        <v>#DIV/0!</v>
      </c>
      <c r="AQ14" s="161" t="e">
        <f>AL14*'Нормы по школам'!M15/'Нормы по школам'!I15</f>
        <v>#DIV/0!</v>
      </c>
    </row>
    <row r="15" spans="1:43" s="27" customFormat="1" ht="15" customHeight="1" thickBot="1">
      <c r="A15" s="142" t="s">
        <v>22</v>
      </c>
      <c r="B15" s="127" t="e">
        <f>AVERAGE('Учреждение (1)'!B15,'Учреждение (2)'!B15,'Учреждение (3)'!B15,'Учреждение (4)'!B15,'Учреждение (5)'!B15)</f>
        <v>#DIV/0!</v>
      </c>
      <c r="C15" s="119" t="e">
        <f>B15*'Нормы по школам'!C16/'Нормы по школам'!B16</f>
        <v>#DIV/0!</v>
      </c>
      <c r="D15" s="107" t="e">
        <f>B15/('Нормы по школам'!C16/100*25)*100</f>
        <v>#DIV/0!</v>
      </c>
      <c r="E15" s="132" t="e">
        <f>C15*'Нормы по школам'!D16/'Нормы по школам'!C16</f>
        <v>#DIV/0!</v>
      </c>
      <c r="F15" s="132" t="e">
        <f>C15*'Нормы по школам'!E16/'Нормы по школам'!C16</f>
        <v>#DIV/0!</v>
      </c>
      <c r="G15" s="132" t="e">
        <f>C15*'Нормы по школам'!F16/'Нормы по школам'!C16</f>
        <v>#DIV/0!</v>
      </c>
      <c r="H15" s="133" t="e">
        <f>C15*'Нормы по школам'!G16/'Нормы по школам'!C16</f>
        <v>#DIV/0!</v>
      </c>
      <c r="I15" s="127" t="e">
        <f>AVERAGE('Учреждение (1)'!I15,'Учреждение (2)'!I15,'Учреждение (3)'!I15,'Учреждение (4)'!I15,'Учреждение (5)'!I15)</f>
        <v>#DIV/0!</v>
      </c>
      <c r="J15" s="109" t="e">
        <f>I15*'Нормы по школам'!I16/'Нормы по школам'!H16</f>
        <v>#DIV/0!</v>
      </c>
      <c r="K15" s="107" t="e">
        <f>J15/('Нормы по школам'!C16/100*25)*100</f>
        <v>#DIV/0!</v>
      </c>
      <c r="L15" s="160" t="e">
        <f>J15*'Нормы по школам'!J16/'Нормы по школам'!I16</f>
        <v>#DIV/0!</v>
      </c>
      <c r="M15" s="160" t="e">
        <f>J15*'Нормы по школам'!K16/'Нормы по школам'!I16</f>
        <v>#DIV/0!</v>
      </c>
      <c r="N15" s="160" t="e">
        <f>J15*'Нормы по школам'!L16/'Нормы по школам'!I16</f>
        <v>#DIV/0!</v>
      </c>
      <c r="O15" s="161" t="e">
        <f>J15*'Нормы по школам'!M16/'Нормы по школам'!I16</f>
        <v>#DIV/0!</v>
      </c>
      <c r="P15" s="127" t="e">
        <f>AVERAGE('Учреждение (1)'!P15,'Учреждение (2)'!P15,'Учреждение (3)'!P15,'Учреждение (4)'!P15,'Учреждение (5)'!P15)</f>
        <v>#DIV/0!</v>
      </c>
      <c r="Q15" s="109" t="e">
        <f>P15*'Нормы по школам'!C16/'Нормы по школам'!B16</f>
        <v>#DIV/0!</v>
      </c>
      <c r="R15" s="131" t="e">
        <f>Q15*100/'Нормы по школам'!C16</f>
        <v>#DIV/0!</v>
      </c>
      <c r="S15" s="132" t="e">
        <f>Q15*'Нормы по школам'!D16/'Нормы по школам'!C16</f>
        <v>#DIV/0!</v>
      </c>
      <c r="T15" s="132" t="e">
        <f>Q15*'Нормы по школам'!E16/'Нормы по школам'!C16</f>
        <v>#DIV/0!</v>
      </c>
      <c r="U15" s="132" t="e">
        <f>Q15*'Нормы по школам'!F16/'Нормы по школам'!C16</f>
        <v>#DIV/0!</v>
      </c>
      <c r="V15" s="134" t="e">
        <f>Q15*'Нормы по школам'!G16/'Нормы по школам'!C16</f>
        <v>#DIV/0!</v>
      </c>
      <c r="W15" s="127" t="e">
        <f>AVERAGE('Учреждение (1)'!W15,'Учреждение (2)'!W15,'Учреждение (3)'!W15,'Учреждение (4)'!W15,'Учреждение (5)'!W15)</f>
        <v>#DIV/0!</v>
      </c>
      <c r="X15" s="119" t="e">
        <f>W15*'Нормы по школам'!I16/'Нормы по школам'!H16</f>
        <v>#DIV/0!</v>
      </c>
      <c r="Y15" s="107" t="e">
        <f>X15/('Нормы по школам'!C16/100*35)*100</f>
        <v>#DIV/0!</v>
      </c>
      <c r="Z15" s="160" t="e">
        <f>X15*'Нормы по школам'!J16/'Нормы по школам'!I16</f>
        <v>#DIV/0!</v>
      </c>
      <c r="AA15" s="160" t="e">
        <f>X15*'Нормы по школам'!K16/'Нормы по школам'!I16</f>
        <v>#DIV/0!</v>
      </c>
      <c r="AB15" s="160" t="e">
        <f>X15*'Нормы по школам'!L16/'Нормы по школам'!I16</f>
        <v>#DIV/0!</v>
      </c>
      <c r="AC15" s="161" t="e">
        <f>X15*'Нормы по школам'!M16/'Нормы по школам'!I16</f>
        <v>#DIV/0!</v>
      </c>
      <c r="AD15" s="127" t="e">
        <f>AVERAGE('Учреждение (1)'!AD15,'Учреждение (2)'!AD15,'Учреждение (3)'!AD15,'Учреждение (4)'!AD15,'Учреждение (5)'!AD15)</f>
        <v>#DIV/0!</v>
      </c>
      <c r="AE15" s="109" t="e">
        <f>AD15*'Нормы по школам'!C16/'Нормы по школам'!B16</f>
        <v>#DIV/0!</v>
      </c>
      <c r="AF15" s="107" t="e">
        <f>AE15/('Нормы по школам'!C16/100*60)*100</f>
        <v>#DIV/0!</v>
      </c>
      <c r="AG15" s="132" t="e">
        <f>AE15*'Нормы по школам'!D16/'Нормы по школам'!C16</f>
        <v>#DIV/0!</v>
      </c>
      <c r="AH15" s="132" t="e">
        <f>AE15*'Нормы по школам'!E16/'Нормы по школам'!C16</f>
        <v>#DIV/0!</v>
      </c>
      <c r="AI15" s="132" t="e">
        <f>AE15*'Нормы по школам'!F16/'Нормы по школам'!C16</f>
        <v>#DIV/0!</v>
      </c>
      <c r="AJ15" s="133" t="e">
        <f>AE15*'Нормы по школам'!G16/'Нормы по школам'!C16</f>
        <v>#DIV/0!</v>
      </c>
      <c r="AK15" s="127" t="e">
        <f>AVERAGE('Учреждение (1)'!AK15,'Учреждение (2)'!AK15,'Учреждение (3)'!AK15,'Учреждение (4)'!AK15,'Учреждение (5)'!AK15)</f>
        <v>#DIV/0!</v>
      </c>
      <c r="AL15" s="109" t="e">
        <f>AK15*'Нормы по школам'!I16/'Нормы по школам'!H16</f>
        <v>#DIV/0!</v>
      </c>
      <c r="AM15" s="107" t="e">
        <f>AL15/('Нормы по школам'!C16/100*60)*100</f>
        <v>#DIV/0!</v>
      </c>
      <c r="AN15" s="160" t="e">
        <f>AL15*'Нормы по школам'!J16/'Нормы по школам'!I16</f>
        <v>#DIV/0!</v>
      </c>
      <c r="AO15" s="160" t="e">
        <f>AL15*'Нормы по школам'!K16/'Нормы по школам'!I16</f>
        <v>#DIV/0!</v>
      </c>
      <c r="AP15" s="160" t="e">
        <f>AL15*'Нормы по школам'!L16/'Нормы по школам'!I16</f>
        <v>#DIV/0!</v>
      </c>
      <c r="AQ15" s="161" t="e">
        <f>AL15*'Нормы по школам'!M16/'Нормы по школам'!I16</f>
        <v>#DIV/0!</v>
      </c>
    </row>
    <row r="16" spans="1:43" s="27" customFormat="1" ht="15" customHeight="1" thickBot="1">
      <c r="A16" s="140" t="s">
        <v>71</v>
      </c>
      <c r="B16" s="127" t="e">
        <f>AVERAGE('Учреждение (1)'!B16,'Учреждение (2)'!B16,'Учреждение (3)'!B16,'Учреждение (4)'!B16,'Учреждение (5)'!B16)</f>
        <v>#DIV/0!</v>
      </c>
      <c r="C16" s="119" t="e">
        <f>B16*'Нормы по школам'!C17/'Нормы по школам'!B17</f>
        <v>#DIV/0!</v>
      </c>
      <c r="D16" s="107" t="e">
        <f>B16/('Нормы по школам'!C17/100*25)*100</f>
        <v>#DIV/0!</v>
      </c>
      <c r="E16" s="132" t="e">
        <f>C16*'Нормы по школам'!D17/'Нормы по школам'!C17</f>
        <v>#DIV/0!</v>
      </c>
      <c r="F16" s="132" t="e">
        <f>C16*'Нормы по школам'!E17/'Нормы по школам'!C17</f>
        <v>#DIV/0!</v>
      </c>
      <c r="G16" s="132" t="e">
        <f>C16*'Нормы по школам'!F17/'Нормы по школам'!C17</f>
        <v>#DIV/0!</v>
      </c>
      <c r="H16" s="133" t="e">
        <f>C16*'Нормы по школам'!G17/'Нормы по школам'!C17</f>
        <v>#DIV/0!</v>
      </c>
      <c r="I16" s="127" t="e">
        <f>AVERAGE('Учреждение (1)'!I16,'Учреждение (2)'!I16,'Учреждение (3)'!I16,'Учреждение (4)'!I16,'Учреждение (5)'!I16)</f>
        <v>#DIV/0!</v>
      </c>
      <c r="J16" s="109" t="e">
        <f>I16*'Нормы по школам'!I17/'Нормы по школам'!H17</f>
        <v>#DIV/0!</v>
      </c>
      <c r="K16" s="107" t="e">
        <f>J16/('Нормы по школам'!C17/100*25)*100</f>
        <v>#DIV/0!</v>
      </c>
      <c r="L16" s="160" t="e">
        <f>J16*'Нормы по школам'!J17/'Нормы по школам'!I17</f>
        <v>#DIV/0!</v>
      </c>
      <c r="M16" s="160" t="e">
        <f>J16*'Нормы по школам'!K17/'Нормы по школам'!I17</f>
        <v>#DIV/0!</v>
      </c>
      <c r="N16" s="160" t="e">
        <f>J16*'Нормы по школам'!L17/'Нормы по школам'!I17</f>
        <v>#DIV/0!</v>
      </c>
      <c r="O16" s="161" t="e">
        <f>J16*'Нормы по школам'!M17/'Нормы по школам'!I17</f>
        <v>#DIV/0!</v>
      </c>
      <c r="P16" s="127" t="e">
        <f>AVERAGE('Учреждение (1)'!P16,'Учреждение (2)'!P16,'Учреждение (3)'!P16,'Учреждение (4)'!P16,'Учреждение (5)'!P16)</f>
        <v>#DIV/0!</v>
      </c>
      <c r="Q16" s="109" t="e">
        <f>P16*'Нормы по школам'!C17/'Нормы по школам'!B17</f>
        <v>#DIV/0!</v>
      </c>
      <c r="R16" s="131" t="e">
        <f>Q16*100/'Нормы по школам'!C17</f>
        <v>#DIV/0!</v>
      </c>
      <c r="S16" s="132" t="e">
        <f>Q16*'Нормы по школам'!D17/'Нормы по школам'!C17</f>
        <v>#DIV/0!</v>
      </c>
      <c r="T16" s="132" t="e">
        <f>Q16*'Нормы по школам'!E17/'Нормы по школам'!C17</f>
        <v>#DIV/0!</v>
      </c>
      <c r="U16" s="132" t="e">
        <f>Q16*'Нормы по школам'!F17/'Нормы по школам'!C17</f>
        <v>#DIV/0!</v>
      </c>
      <c r="V16" s="134" t="e">
        <f>Q16*'Нормы по школам'!G17/'Нормы по школам'!C17</f>
        <v>#DIV/0!</v>
      </c>
      <c r="W16" s="127" t="e">
        <f>AVERAGE('Учреждение (1)'!W16,'Учреждение (2)'!W16,'Учреждение (3)'!W16,'Учреждение (4)'!W16,'Учреждение (5)'!W16)</f>
        <v>#DIV/0!</v>
      </c>
      <c r="X16" s="119" t="e">
        <f>W16*'Нормы по школам'!I17/'Нормы по школам'!H17</f>
        <v>#DIV/0!</v>
      </c>
      <c r="Y16" s="107" t="e">
        <f>X16/('Нормы по школам'!C17/100*35)*100</f>
        <v>#DIV/0!</v>
      </c>
      <c r="Z16" s="160" t="e">
        <f>X16*'Нормы по школам'!J17/'Нормы по школам'!I17</f>
        <v>#DIV/0!</v>
      </c>
      <c r="AA16" s="160" t="e">
        <f>X16*'Нормы по школам'!K17/'Нормы по школам'!I17</f>
        <v>#DIV/0!</v>
      </c>
      <c r="AB16" s="160" t="e">
        <f>X16*'Нормы по школам'!L17/'Нормы по школам'!I17</f>
        <v>#DIV/0!</v>
      </c>
      <c r="AC16" s="161" t="e">
        <f>X16*'Нормы по школам'!M17/'Нормы по школам'!I17</f>
        <v>#DIV/0!</v>
      </c>
      <c r="AD16" s="127" t="e">
        <f>AVERAGE('Учреждение (1)'!AD16,'Учреждение (2)'!AD16,'Учреждение (3)'!AD16,'Учреждение (4)'!AD16,'Учреждение (5)'!AD16)</f>
        <v>#DIV/0!</v>
      </c>
      <c r="AE16" s="109" t="e">
        <f>AD16*'Нормы по школам'!C17/'Нормы по школам'!B17</f>
        <v>#DIV/0!</v>
      </c>
      <c r="AF16" s="107" t="e">
        <f>AE16/('Нормы по школам'!C17/100*60)*100</f>
        <v>#DIV/0!</v>
      </c>
      <c r="AG16" s="132" t="e">
        <f>AE16*'Нормы по школам'!D17/'Нормы по школам'!C17</f>
        <v>#DIV/0!</v>
      </c>
      <c r="AH16" s="132" t="e">
        <f>AE16*'Нормы по школам'!E17/'Нормы по школам'!C17</f>
        <v>#DIV/0!</v>
      </c>
      <c r="AI16" s="132" t="e">
        <f>AE16*'Нормы по школам'!F17/'Нормы по школам'!C17</f>
        <v>#DIV/0!</v>
      </c>
      <c r="AJ16" s="133" t="e">
        <f>AE16*'Нормы по школам'!G17/'Нормы по школам'!C17</f>
        <v>#DIV/0!</v>
      </c>
      <c r="AK16" s="127" t="e">
        <f>AVERAGE('Учреждение (1)'!AK16,'Учреждение (2)'!AK16,'Учреждение (3)'!AK16,'Учреждение (4)'!AK16,'Учреждение (5)'!AK16)</f>
        <v>#DIV/0!</v>
      </c>
      <c r="AL16" s="109" t="e">
        <f>AK16*'Нормы по школам'!I17/'Нормы по школам'!H17</f>
        <v>#DIV/0!</v>
      </c>
      <c r="AM16" s="107" t="e">
        <f>AL16/('Нормы по школам'!C17/100*60)*100</f>
        <v>#DIV/0!</v>
      </c>
      <c r="AN16" s="160" t="e">
        <f>AL16*'Нормы по школам'!J17/'Нормы по школам'!I17</f>
        <v>#DIV/0!</v>
      </c>
      <c r="AO16" s="160" t="e">
        <f>AL16*'Нормы по школам'!K17/'Нормы по школам'!I17</f>
        <v>#DIV/0!</v>
      </c>
      <c r="AP16" s="160" t="e">
        <f>AL16*'Нормы по школам'!L17/'Нормы по школам'!I17</f>
        <v>#DIV/0!</v>
      </c>
      <c r="AQ16" s="161" t="e">
        <f>AL16*'Нормы по школам'!M17/'Нормы по школам'!I17</f>
        <v>#DIV/0!</v>
      </c>
    </row>
    <row r="17" spans="1:43" s="27" customFormat="1" ht="15" customHeight="1" thickBot="1">
      <c r="A17" s="142" t="s">
        <v>72</v>
      </c>
      <c r="B17" s="127" t="e">
        <f>AVERAGE('Учреждение (1)'!B17,'Учреждение (2)'!B17,'Учреждение (3)'!B17,'Учреждение (4)'!B17,'Учреждение (5)'!B17)</f>
        <v>#DIV/0!</v>
      </c>
      <c r="C17" s="119" t="e">
        <f>B17*'Нормы по школам'!C18/'Нормы по школам'!B18</f>
        <v>#DIV/0!</v>
      </c>
      <c r="D17" s="107" t="e">
        <f>B17/('Нормы по школам'!C18/100*25)*100</f>
        <v>#DIV/0!</v>
      </c>
      <c r="E17" s="132" t="e">
        <f>C17*'Нормы по школам'!D18/'Нормы по школам'!C18</f>
        <v>#DIV/0!</v>
      </c>
      <c r="F17" s="132" t="e">
        <f>C17*'Нормы по школам'!E18/'Нормы по школам'!C18</f>
        <v>#DIV/0!</v>
      </c>
      <c r="G17" s="132" t="e">
        <f>C17*'Нормы по школам'!F18/'Нормы по школам'!C18</f>
        <v>#DIV/0!</v>
      </c>
      <c r="H17" s="133" t="e">
        <f>C17*'Нормы по школам'!G18/'Нормы по школам'!C18</f>
        <v>#DIV/0!</v>
      </c>
      <c r="I17" s="127" t="e">
        <f>AVERAGE('Учреждение (1)'!I17,'Учреждение (2)'!I17,'Учреждение (3)'!I17,'Учреждение (4)'!I17,'Учреждение (5)'!I17)</f>
        <v>#DIV/0!</v>
      </c>
      <c r="J17" s="109" t="e">
        <f>I17*'Нормы по школам'!I18/'Нормы по школам'!H18</f>
        <v>#DIV/0!</v>
      </c>
      <c r="K17" s="107" t="e">
        <f>J17/('Нормы по школам'!C18/100*25)*100</f>
        <v>#DIV/0!</v>
      </c>
      <c r="L17" s="160" t="e">
        <f>J17*'Нормы по школам'!J18/'Нормы по школам'!I18</f>
        <v>#DIV/0!</v>
      </c>
      <c r="M17" s="160" t="e">
        <f>J17*'Нормы по школам'!K18/'Нормы по школам'!I18</f>
        <v>#DIV/0!</v>
      </c>
      <c r="N17" s="160" t="e">
        <f>J17*'Нормы по школам'!L18/'Нормы по школам'!I18</f>
        <v>#DIV/0!</v>
      </c>
      <c r="O17" s="161" t="e">
        <f>J17*'Нормы по школам'!M18/'Нормы по школам'!I18</f>
        <v>#DIV/0!</v>
      </c>
      <c r="P17" s="127" t="e">
        <f>AVERAGE('Учреждение (1)'!P17,'Учреждение (2)'!P17,'Учреждение (3)'!P17,'Учреждение (4)'!P17,'Учреждение (5)'!P17)</f>
        <v>#DIV/0!</v>
      </c>
      <c r="Q17" s="109" t="e">
        <f>P17*'Нормы по школам'!C18/'Нормы по школам'!B18</f>
        <v>#DIV/0!</v>
      </c>
      <c r="R17" s="131" t="e">
        <f>Q17*100/'Нормы по школам'!C18</f>
        <v>#DIV/0!</v>
      </c>
      <c r="S17" s="132" t="e">
        <f>Q17*'Нормы по школам'!D18/'Нормы по школам'!C18</f>
        <v>#DIV/0!</v>
      </c>
      <c r="T17" s="132" t="e">
        <f>Q17*'Нормы по школам'!E18/'Нормы по школам'!C18</f>
        <v>#DIV/0!</v>
      </c>
      <c r="U17" s="132" t="e">
        <f>Q17*'Нормы по школам'!F18/'Нормы по школам'!C18</f>
        <v>#DIV/0!</v>
      </c>
      <c r="V17" s="134" t="e">
        <f>Q17*'Нормы по школам'!G18/'Нормы по школам'!C18</f>
        <v>#DIV/0!</v>
      </c>
      <c r="W17" s="127" t="e">
        <f>AVERAGE('Учреждение (1)'!W17,'Учреждение (2)'!W17,'Учреждение (3)'!W17,'Учреждение (4)'!W17,'Учреждение (5)'!W17)</f>
        <v>#DIV/0!</v>
      </c>
      <c r="X17" s="119" t="e">
        <f>W17*'Нормы по школам'!I18/'Нормы по школам'!H18</f>
        <v>#DIV/0!</v>
      </c>
      <c r="Y17" s="107" t="e">
        <f>X17/('Нормы по школам'!C18/100*35)*100</f>
        <v>#DIV/0!</v>
      </c>
      <c r="Z17" s="160" t="e">
        <f>X17*'Нормы по школам'!J18/'Нормы по школам'!I18</f>
        <v>#DIV/0!</v>
      </c>
      <c r="AA17" s="160" t="e">
        <f>X17*'Нормы по школам'!K18/'Нормы по школам'!I18</f>
        <v>#DIV/0!</v>
      </c>
      <c r="AB17" s="160" t="e">
        <f>X17*'Нормы по школам'!L18/'Нормы по школам'!I18</f>
        <v>#DIV/0!</v>
      </c>
      <c r="AC17" s="161" t="e">
        <f>X17*'Нормы по школам'!M18/'Нормы по школам'!I18</f>
        <v>#DIV/0!</v>
      </c>
      <c r="AD17" s="127" t="e">
        <f>AVERAGE('Учреждение (1)'!AD17,'Учреждение (2)'!AD17,'Учреждение (3)'!AD17,'Учреждение (4)'!AD17,'Учреждение (5)'!AD17)</f>
        <v>#DIV/0!</v>
      </c>
      <c r="AE17" s="109" t="e">
        <f>AD17*'Нормы по школам'!C18/'Нормы по школам'!B18</f>
        <v>#DIV/0!</v>
      </c>
      <c r="AF17" s="107" t="e">
        <f>AE17/('Нормы по школам'!C18/100*60)*100</f>
        <v>#DIV/0!</v>
      </c>
      <c r="AG17" s="132" t="e">
        <f>AE17*'Нормы по школам'!D18/'Нормы по школам'!C18</f>
        <v>#DIV/0!</v>
      </c>
      <c r="AH17" s="132" t="e">
        <f>AE17*'Нормы по школам'!E18/'Нормы по школам'!C18</f>
        <v>#DIV/0!</v>
      </c>
      <c r="AI17" s="132" t="e">
        <f>AE17*'Нормы по школам'!F18/'Нормы по школам'!C18</f>
        <v>#DIV/0!</v>
      </c>
      <c r="AJ17" s="133" t="e">
        <f>AE17*'Нормы по школам'!G18/'Нормы по школам'!C18</f>
        <v>#DIV/0!</v>
      </c>
      <c r="AK17" s="127" t="e">
        <f>AVERAGE('Учреждение (1)'!AK17,'Учреждение (2)'!AK17,'Учреждение (3)'!AK17,'Учреждение (4)'!AK17,'Учреждение (5)'!AK17)</f>
        <v>#DIV/0!</v>
      </c>
      <c r="AL17" s="109" t="e">
        <f>AK17*'Нормы по школам'!I18/'Нормы по школам'!H18</f>
        <v>#DIV/0!</v>
      </c>
      <c r="AM17" s="107" t="e">
        <f>AL17/('Нормы по школам'!C18/100*60)*100</f>
        <v>#DIV/0!</v>
      </c>
      <c r="AN17" s="160" t="e">
        <f>AL17*'Нормы по школам'!J18/'Нормы по школам'!I18</f>
        <v>#DIV/0!</v>
      </c>
      <c r="AO17" s="160" t="e">
        <f>AL17*'Нормы по школам'!K18/'Нормы по школам'!I18</f>
        <v>#DIV/0!</v>
      </c>
      <c r="AP17" s="160" t="e">
        <f>AL17*'Нормы по школам'!L18/'Нормы по школам'!I18</f>
        <v>#DIV/0!</v>
      </c>
      <c r="AQ17" s="161" t="e">
        <f>AL17*'Нормы по школам'!M18/'Нормы по школам'!I18</f>
        <v>#DIV/0!</v>
      </c>
    </row>
    <row r="18" spans="1:43" s="27" customFormat="1" ht="15" customHeight="1" thickBot="1">
      <c r="A18" s="140" t="s">
        <v>25</v>
      </c>
      <c r="B18" s="127">
        <f>AVERAGE('Учреждение (1)'!B18,'Учреждение (2)'!B18,'Учреждение (3)'!B18,'Учреждение (4)'!B18,'Учреждение (5)'!B18)</f>
        <v>14.3</v>
      </c>
      <c r="C18" s="119">
        <f>B18*'Нормы по школам'!C19/'Нормы по школам'!B19</f>
        <v>13.823333333333334</v>
      </c>
      <c r="D18" s="107">
        <f>B18/('Нормы по школам'!C19/100*25)*100</f>
        <v>98.620689655172427</v>
      </c>
      <c r="E18" s="132">
        <f>C18*'Нормы по школам'!D19/'Нормы по школам'!C19</f>
        <v>2.2808500000000005</v>
      </c>
      <c r="F18" s="132">
        <f>C18*'Нормы по школам'!E19/'Нормы по школам'!C19</f>
        <v>0.53450222222222232</v>
      </c>
      <c r="G18" s="132">
        <f>C18*'Нормы по школам'!F19/'Нормы по школам'!C19</f>
        <v>0</v>
      </c>
      <c r="H18" s="133">
        <f>C18*'Нормы по школам'!G19/'Нормы по школам'!C19</f>
        <v>13.961566666666668</v>
      </c>
      <c r="I18" s="127">
        <f>AVERAGE('Учреждение (1)'!I18,'Учреждение (2)'!I18,'Учреждение (3)'!I18,'Учреждение (4)'!I18,'Учреждение (5)'!I18)</f>
        <v>17.3</v>
      </c>
      <c r="J18" s="109">
        <f>I18*'Нормы по школам'!I19/'Нормы по школам'!H19</f>
        <v>16.651250000000001</v>
      </c>
      <c r="K18" s="107">
        <f>J18/('Нормы по школам'!C19/100*25)*100</f>
        <v>114.83620689655174</v>
      </c>
      <c r="L18" s="160">
        <f>J18*'Нормы по школам'!J19/'Нормы по школам'!I19</f>
        <v>2.7474562499999999</v>
      </c>
      <c r="M18" s="160">
        <f>J18*'Нормы по школам'!K19/'Нормы по школам'!I19</f>
        <v>0.64384833333333347</v>
      </c>
      <c r="N18" s="160">
        <f>J18*'Нормы по школам'!L19/'Нормы по школам'!I19</f>
        <v>0</v>
      </c>
      <c r="O18" s="161">
        <f>J18*'Нормы по школам'!M19/'Нормы по школам'!I19</f>
        <v>16.817762500000001</v>
      </c>
      <c r="P18" s="127" t="e">
        <f>AVERAGE('Учреждение (1)'!P18,'Учреждение (2)'!P18,'Учреждение (3)'!P18,'Учреждение (4)'!P18,'Учреждение (5)'!P18)</f>
        <v>#DIV/0!</v>
      </c>
      <c r="Q18" s="109" t="e">
        <f>P18*'Нормы по школам'!C19/'Нормы по школам'!B19</f>
        <v>#DIV/0!</v>
      </c>
      <c r="R18" s="131" t="e">
        <f>Q18*100/'Нормы по школам'!C19</f>
        <v>#DIV/0!</v>
      </c>
      <c r="S18" s="132" t="e">
        <f>Q18*'Нормы по школам'!D19/'Нормы по школам'!C19</f>
        <v>#DIV/0!</v>
      </c>
      <c r="T18" s="132" t="e">
        <f>Q18*'Нормы по школам'!E19/'Нормы по школам'!C19</f>
        <v>#DIV/0!</v>
      </c>
      <c r="U18" s="132" t="e">
        <f>Q18*'Нормы по школам'!F19/'Нормы по школам'!C19</f>
        <v>#DIV/0!</v>
      </c>
      <c r="V18" s="134" t="e">
        <f>Q18*'Нормы по школам'!G19/'Нормы по школам'!C19</f>
        <v>#DIV/0!</v>
      </c>
      <c r="W18" s="127" t="e">
        <f>AVERAGE('Учреждение (1)'!W18,'Учреждение (2)'!W18,'Учреждение (3)'!W18,'Учреждение (4)'!W18,'Учреждение (5)'!W18)</f>
        <v>#DIV/0!</v>
      </c>
      <c r="X18" s="119" t="e">
        <f>W18*'Нормы по школам'!I19/'Нормы по школам'!H19</f>
        <v>#DIV/0!</v>
      </c>
      <c r="Y18" s="107" t="e">
        <f>X18/('Нормы по школам'!C19/100*35)*100</f>
        <v>#DIV/0!</v>
      </c>
      <c r="Z18" s="160" t="e">
        <f>X18*'Нормы по школам'!J19/'Нормы по школам'!I19</f>
        <v>#DIV/0!</v>
      </c>
      <c r="AA18" s="160" t="e">
        <f>X18*'Нормы по школам'!K19/'Нормы по школам'!I19</f>
        <v>#DIV/0!</v>
      </c>
      <c r="AB18" s="160" t="e">
        <f>X18*'Нормы по школам'!L19/'Нормы по школам'!I19</f>
        <v>#DIV/0!</v>
      </c>
      <c r="AC18" s="161" t="e">
        <f>X18*'Нормы по школам'!M19/'Нормы по школам'!I19</f>
        <v>#DIV/0!</v>
      </c>
      <c r="AD18" s="127" t="e">
        <f>AVERAGE('Учреждение (1)'!AD18,'Учреждение (2)'!AD18,'Учреждение (3)'!AD18,'Учреждение (4)'!AD18,'Учреждение (5)'!AD18)</f>
        <v>#DIV/0!</v>
      </c>
      <c r="AE18" s="109" t="e">
        <f>AD18*'Нормы по школам'!C19/'Нормы по школам'!B19</f>
        <v>#DIV/0!</v>
      </c>
      <c r="AF18" s="107" t="e">
        <f>AE18/('Нормы по школам'!C19/100*60)*100</f>
        <v>#DIV/0!</v>
      </c>
      <c r="AG18" s="132" t="e">
        <f>AE18*'Нормы по школам'!D19/'Нормы по школам'!C19</f>
        <v>#DIV/0!</v>
      </c>
      <c r="AH18" s="132" t="e">
        <f>AE18*'Нормы по школам'!E19/'Нормы по школам'!C19</f>
        <v>#DIV/0!</v>
      </c>
      <c r="AI18" s="132" t="e">
        <f>AE18*'Нормы по школам'!F19/'Нормы по школам'!C19</f>
        <v>#DIV/0!</v>
      </c>
      <c r="AJ18" s="133" t="e">
        <f>AE18*'Нормы по школам'!G19/'Нормы по школам'!C19</f>
        <v>#DIV/0!</v>
      </c>
      <c r="AK18" s="127" t="e">
        <f>AVERAGE('Учреждение (1)'!AK18,'Учреждение (2)'!AK18,'Учреждение (3)'!AK18,'Учреждение (4)'!AK18,'Учреждение (5)'!AK18)</f>
        <v>#DIV/0!</v>
      </c>
      <c r="AL18" s="109" t="e">
        <f>AK18*'Нормы по школам'!I19/'Нормы по школам'!H19</f>
        <v>#DIV/0!</v>
      </c>
      <c r="AM18" s="107" t="e">
        <f>AL18/('Нормы по школам'!C19/100*60)*100</f>
        <v>#DIV/0!</v>
      </c>
      <c r="AN18" s="160" t="e">
        <f>AL18*'Нормы по школам'!J19/'Нормы по школам'!I19</f>
        <v>#DIV/0!</v>
      </c>
      <c r="AO18" s="160" t="e">
        <f>AL18*'Нормы по школам'!K19/'Нормы по школам'!I19</f>
        <v>#DIV/0!</v>
      </c>
      <c r="AP18" s="160" t="e">
        <f>AL18*'Нормы по школам'!L19/'Нормы по школам'!I19</f>
        <v>#DIV/0!</v>
      </c>
      <c r="AQ18" s="161" t="e">
        <f>AL18*'Нормы по школам'!M19/'Нормы по школам'!I19</f>
        <v>#DIV/0!</v>
      </c>
    </row>
    <row r="19" spans="1:43" s="27" customFormat="1" ht="15" customHeight="1" thickBot="1">
      <c r="A19" s="140" t="s">
        <v>26</v>
      </c>
      <c r="B19" s="127">
        <f>AVERAGE('Учреждение (1)'!B19,'Учреждение (2)'!B19,'Учреждение (3)'!B19,'Учреждение (4)'!B19,'Учреждение (5)'!B19)</f>
        <v>4.7</v>
      </c>
      <c r="C19" s="119">
        <f>B19*'Нормы по школам'!C20/'Нормы по школам'!B20</f>
        <v>4.6059999999999999</v>
      </c>
      <c r="D19" s="107">
        <f>B19/('Нормы по школам'!C20/100*25)*100</f>
        <v>127.89115646258504</v>
      </c>
      <c r="E19" s="132">
        <f>C19*'Нормы по школам'!D20/'Нормы по школам'!C20</f>
        <v>0.58956799999999998</v>
      </c>
      <c r="F19" s="132">
        <f>C19*'Нормы по школам'!E20/'Нормы по школам'!C20</f>
        <v>1.022532</v>
      </c>
      <c r="G19" s="132">
        <f>C19*'Нормы по школам'!F20/'Нормы по школам'!C20</f>
        <v>6.9089999999999999E-2</v>
      </c>
      <c r="H19" s="133">
        <f>C19*'Нормы по школам'!G20/'Нормы по школам'!C20</f>
        <v>11.837419999999998</v>
      </c>
      <c r="I19" s="127">
        <f>AVERAGE('Учреждение (1)'!I19,'Учреждение (2)'!I19,'Учреждение (3)'!I19,'Учреждение (4)'!I19,'Учреждение (5)'!I19)</f>
        <v>5.8</v>
      </c>
      <c r="J19" s="109">
        <f>I19*'Нормы по школам'!I20/'Нормы по школам'!H20</f>
        <v>5.6840000000000002</v>
      </c>
      <c r="K19" s="107">
        <f>J19/('Нормы по школам'!C20/100*25)*100</f>
        <v>154.66666666666669</v>
      </c>
      <c r="L19" s="160">
        <f>J19*'Нормы по школам'!J20/'Нормы по школам'!I20</f>
        <v>0.72755200000000009</v>
      </c>
      <c r="M19" s="160">
        <f>J19*'Нормы по школам'!K20/'Нормы по школам'!I20</f>
        <v>1.2618480000000001</v>
      </c>
      <c r="N19" s="160">
        <f>J19*'Нормы по школам'!L20/'Нормы по школам'!I20</f>
        <v>8.5260000000000016E-2</v>
      </c>
      <c r="O19" s="161">
        <f>J19*'Нормы по школам'!M20/'Нормы по школам'!I20</f>
        <v>14.60788</v>
      </c>
      <c r="P19" s="127" t="e">
        <f>AVERAGE('Учреждение (1)'!P19,'Учреждение (2)'!P19,'Учреждение (3)'!P19,'Учреждение (4)'!P19,'Учреждение (5)'!P19)</f>
        <v>#DIV/0!</v>
      </c>
      <c r="Q19" s="109" t="e">
        <f>P19*'Нормы по школам'!C20/'Нормы по школам'!B20</f>
        <v>#DIV/0!</v>
      </c>
      <c r="R19" s="131" t="e">
        <f>Q19*100/'Нормы по школам'!C20</f>
        <v>#DIV/0!</v>
      </c>
      <c r="S19" s="132" t="e">
        <f>Q19*'Нормы по школам'!D20/'Нормы по школам'!C20</f>
        <v>#DIV/0!</v>
      </c>
      <c r="T19" s="132" t="e">
        <f>Q19*'Нормы по школам'!E20/'Нормы по школам'!C20</f>
        <v>#DIV/0!</v>
      </c>
      <c r="U19" s="132" t="e">
        <f>Q19*'Нормы по школам'!F20/'Нормы по школам'!C20</f>
        <v>#DIV/0!</v>
      </c>
      <c r="V19" s="134" t="e">
        <f>Q19*'Нормы по школам'!G20/'Нормы по школам'!C20</f>
        <v>#DIV/0!</v>
      </c>
      <c r="W19" s="127" t="e">
        <f>AVERAGE('Учреждение (1)'!W19,'Учреждение (2)'!W19,'Учреждение (3)'!W19,'Учреждение (4)'!W19,'Учреждение (5)'!W19)</f>
        <v>#DIV/0!</v>
      </c>
      <c r="X19" s="119" t="e">
        <f>W19*'Нормы по школам'!I20/'Нормы по школам'!H20</f>
        <v>#DIV/0!</v>
      </c>
      <c r="Y19" s="107" t="e">
        <f>X19/('Нормы по школам'!C20/100*35)*100</f>
        <v>#DIV/0!</v>
      </c>
      <c r="Z19" s="160" t="e">
        <f>X19*'Нормы по школам'!J20/'Нормы по школам'!I20</f>
        <v>#DIV/0!</v>
      </c>
      <c r="AA19" s="160" t="e">
        <f>X19*'Нормы по школам'!K20/'Нормы по школам'!I20</f>
        <v>#DIV/0!</v>
      </c>
      <c r="AB19" s="160" t="e">
        <f>X19*'Нормы по школам'!L20/'Нормы по школам'!I20</f>
        <v>#DIV/0!</v>
      </c>
      <c r="AC19" s="161" t="e">
        <f>X19*'Нормы по школам'!M20/'Нормы по школам'!I20</f>
        <v>#DIV/0!</v>
      </c>
      <c r="AD19" s="127" t="e">
        <f>AVERAGE('Учреждение (1)'!AD19,'Учреждение (2)'!AD19,'Учреждение (3)'!AD19,'Учреждение (4)'!AD19,'Учреждение (5)'!AD19)</f>
        <v>#DIV/0!</v>
      </c>
      <c r="AE19" s="109" t="e">
        <f>AD19*'Нормы по школам'!C20/'Нормы по школам'!B20</f>
        <v>#DIV/0!</v>
      </c>
      <c r="AF19" s="107" t="e">
        <f>AE19/('Нормы по школам'!C20/100*60)*100</f>
        <v>#DIV/0!</v>
      </c>
      <c r="AG19" s="132" t="e">
        <f>AE19*'Нормы по школам'!D20/'Нормы по школам'!C20</f>
        <v>#DIV/0!</v>
      </c>
      <c r="AH19" s="132" t="e">
        <f>AE19*'Нормы по школам'!E20/'Нормы по школам'!C20</f>
        <v>#DIV/0!</v>
      </c>
      <c r="AI19" s="132" t="e">
        <f>AE19*'Нормы по школам'!F20/'Нормы по школам'!C20</f>
        <v>#DIV/0!</v>
      </c>
      <c r="AJ19" s="133" t="e">
        <f>AE19*'Нормы по школам'!G20/'Нормы по школам'!C20</f>
        <v>#DIV/0!</v>
      </c>
      <c r="AK19" s="127" t="e">
        <f>AVERAGE('Учреждение (1)'!AK19,'Учреждение (2)'!AK19,'Учреждение (3)'!AK19,'Учреждение (4)'!AK19,'Учреждение (5)'!AK19)</f>
        <v>#DIV/0!</v>
      </c>
      <c r="AL19" s="109" t="e">
        <f>AK19*'Нормы по школам'!I20/'Нормы по школам'!H20</f>
        <v>#DIV/0!</v>
      </c>
      <c r="AM19" s="107" t="e">
        <f>AL19/('Нормы по школам'!C20/100*60)*100</f>
        <v>#DIV/0!</v>
      </c>
      <c r="AN19" s="160" t="e">
        <f>AL19*'Нормы по школам'!J20/'Нормы по школам'!I20</f>
        <v>#DIV/0!</v>
      </c>
      <c r="AO19" s="160" t="e">
        <f>AL19*'Нормы по школам'!K20/'Нормы по школам'!I20</f>
        <v>#DIV/0!</v>
      </c>
      <c r="AP19" s="160" t="e">
        <f>AL19*'Нормы по школам'!L20/'Нормы по школам'!I20</f>
        <v>#DIV/0!</v>
      </c>
      <c r="AQ19" s="161" t="e">
        <f>AL19*'Нормы по школам'!M20/'Нормы по школам'!I20</f>
        <v>#DIV/0!</v>
      </c>
    </row>
    <row r="20" spans="1:43" s="27" customFormat="1" ht="15" customHeight="1" thickBot="1">
      <c r="A20" s="140" t="s">
        <v>73</v>
      </c>
      <c r="B20" s="127" t="e">
        <f>AVERAGE('Учреждение (1)'!B20,'Учреждение (2)'!B20,'Учреждение (3)'!B20,'Учреждение (4)'!B20,'Учреждение (5)'!B20)</f>
        <v>#DIV/0!</v>
      </c>
      <c r="C20" s="119" t="e">
        <f t="shared" si="0"/>
        <v>#DIV/0!</v>
      </c>
      <c r="D20" s="107" t="e">
        <f>B20/('Нормы по школам'!C21/100*25)*100</f>
        <v>#DIV/0!</v>
      </c>
      <c r="E20" s="132" t="e">
        <f>C20*'Нормы по школам'!D21/'Нормы по школам'!C21</f>
        <v>#DIV/0!</v>
      </c>
      <c r="F20" s="132" t="e">
        <f>C20*'Нормы по школам'!E21/'Нормы по школам'!C21</f>
        <v>#DIV/0!</v>
      </c>
      <c r="G20" s="132" t="e">
        <f>C20*'Нормы по школам'!F21/'Нормы по школам'!C21</f>
        <v>#DIV/0!</v>
      </c>
      <c r="H20" s="133" t="e">
        <f>C20*'Нормы по школам'!G21/'Нормы по школам'!C21</f>
        <v>#DIV/0!</v>
      </c>
      <c r="I20" s="127" t="e">
        <f>AVERAGE('Учреждение (1)'!I20,'Учреждение (2)'!I20,'Учреждение (3)'!I20,'Учреждение (4)'!I20,'Учреждение (5)'!I20)</f>
        <v>#DIV/0!</v>
      </c>
      <c r="J20" s="109" t="e">
        <f t="shared" si="1"/>
        <v>#DIV/0!</v>
      </c>
      <c r="K20" s="107" t="e">
        <f>J20/('Нормы по школам'!C21/100*25)*100</f>
        <v>#DIV/0!</v>
      </c>
      <c r="L20" s="160" t="e">
        <f>J20*'Нормы по школам'!J21/'Нормы по школам'!I21</f>
        <v>#DIV/0!</v>
      </c>
      <c r="M20" s="160" t="e">
        <f>J20*'Нормы по школам'!K21/'Нормы по школам'!I21</f>
        <v>#DIV/0!</v>
      </c>
      <c r="N20" s="160" t="e">
        <f>J20*'Нормы по школам'!L21/'Нормы по школам'!I21</f>
        <v>#DIV/0!</v>
      </c>
      <c r="O20" s="161" t="e">
        <f>J20*'Нормы по школам'!M21/'Нормы по школам'!I21</f>
        <v>#DIV/0!</v>
      </c>
      <c r="P20" s="127" t="e">
        <f>AVERAGE('Учреждение (1)'!P20,'Учреждение (2)'!P20,'Учреждение (3)'!P20,'Учреждение (4)'!P20,'Учреждение (5)'!P20)</f>
        <v>#DIV/0!</v>
      </c>
      <c r="Q20" s="109" t="e">
        <f>P20</f>
        <v>#DIV/0!</v>
      </c>
      <c r="R20" s="131" t="e">
        <f>Q20*100/'Нормы по школам'!C21</f>
        <v>#DIV/0!</v>
      </c>
      <c r="S20" s="132" t="e">
        <f>Q20*'Нормы по школам'!D21/'Нормы по школам'!C21</f>
        <v>#DIV/0!</v>
      </c>
      <c r="T20" s="132" t="e">
        <f>Q20*'Нормы по школам'!E21/'Нормы по школам'!C21</f>
        <v>#DIV/0!</v>
      </c>
      <c r="U20" s="132" t="e">
        <f>Q20*'Нормы по школам'!F21/'Нормы по школам'!C21</f>
        <v>#DIV/0!</v>
      </c>
      <c r="V20" s="134" t="e">
        <f>Q20*'Нормы по школам'!G21/'Нормы по школам'!C21</f>
        <v>#DIV/0!</v>
      </c>
      <c r="W20" s="127" t="e">
        <f>AVERAGE('Учреждение (1)'!W20,'Учреждение (2)'!W20,'Учреждение (3)'!W20,'Учреждение (4)'!W20,'Учреждение (5)'!W20)</f>
        <v>#DIV/0!</v>
      </c>
      <c r="X20" s="119" t="e">
        <f t="shared" si="2"/>
        <v>#DIV/0!</v>
      </c>
      <c r="Y20" s="107" t="e">
        <f>X20/('Нормы по школам'!C21/100*35)*100</f>
        <v>#DIV/0!</v>
      </c>
      <c r="Z20" s="160" t="e">
        <f>X20*'Нормы по школам'!J21/'Нормы по школам'!I21</f>
        <v>#DIV/0!</v>
      </c>
      <c r="AA20" s="160" t="e">
        <f>X20*'Нормы по школам'!K21/'Нормы по школам'!I21</f>
        <v>#DIV/0!</v>
      </c>
      <c r="AB20" s="160" t="e">
        <f>X20*'Нормы по школам'!L21/'Нормы по школам'!I21</f>
        <v>#DIV/0!</v>
      </c>
      <c r="AC20" s="161" t="e">
        <f>X20*'Нормы по школам'!M21/'Нормы по школам'!I21</f>
        <v>#DIV/0!</v>
      </c>
      <c r="AD20" s="127" t="e">
        <f>AVERAGE('Учреждение (1)'!AD20,'Учреждение (2)'!AD20,'Учреждение (3)'!AD20,'Учреждение (4)'!AD20,'Учреждение (5)'!AD20)</f>
        <v>#DIV/0!</v>
      </c>
      <c r="AE20" s="109" t="e">
        <f>AD20</f>
        <v>#DIV/0!</v>
      </c>
      <c r="AF20" s="107" t="e">
        <f>AE20/('Нормы по школам'!C21/100*60)*100</f>
        <v>#DIV/0!</v>
      </c>
      <c r="AG20" s="132" t="e">
        <f>AE20*'Нормы по школам'!D21/'Нормы по школам'!C21</f>
        <v>#DIV/0!</v>
      </c>
      <c r="AH20" s="132" t="e">
        <f>AE20*'Нормы по школам'!E21/'Нормы по школам'!C21</f>
        <v>#DIV/0!</v>
      </c>
      <c r="AI20" s="132" t="e">
        <f>AE20*'Нормы по школам'!F21/'Нормы по школам'!C21</f>
        <v>#DIV/0!</v>
      </c>
      <c r="AJ20" s="133" t="e">
        <f>AE20*'Нормы по школам'!G21/'Нормы по школам'!C21</f>
        <v>#DIV/0!</v>
      </c>
      <c r="AK20" s="127" t="e">
        <f>AVERAGE('Учреждение (1)'!AK20,'Учреждение (2)'!AK20,'Учреждение (3)'!AK20,'Учреждение (4)'!AK20,'Учреждение (5)'!AK20)</f>
        <v>#DIV/0!</v>
      </c>
      <c r="AL20" s="109" t="e">
        <f t="shared" si="3"/>
        <v>#DIV/0!</v>
      </c>
      <c r="AM20" s="107" t="e">
        <f>AL20/('Нормы по школам'!C21/100*60)*100</f>
        <v>#DIV/0!</v>
      </c>
      <c r="AN20" s="160" t="e">
        <f>AL20*'Нормы по школам'!J21/'Нормы по школам'!I21</f>
        <v>#DIV/0!</v>
      </c>
      <c r="AO20" s="160" t="e">
        <f>AL20*'Нормы по школам'!K21/'Нормы по школам'!I21</f>
        <v>#DIV/0!</v>
      </c>
      <c r="AP20" s="160" t="e">
        <f>AL20*'Нормы по школам'!L21/'Нормы по школам'!I21</f>
        <v>#DIV/0!</v>
      </c>
      <c r="AQ20" s="161" t="e">
        <f>AL20*'Нормы по школам'!M21/'Нормы по школам'!I21</f>
        <v>#DIV/0!</v>
      </c>
    </row>
    <row r="21" spans="1:43" s="27" customFormat="1" ht="15" customHeight="1" thickBot="1">
      <c r="A21" s="142" t="s">
        <v>74</v>
      </c>
      <c r="B21" s="127">
        <f>AVERAGE('Учреждение (1)'!B21,'Учреждение (2)'!B21,'Учреждение (3)'!B21,'Учреждение (4)'!B21,'Учреждение (5)'!B21)</f>
        <v>51.6</v>
      </c>
      <c r="C21" s="119">
        <f t="shared" si="0"/>
        <v>51.6</v>
      </c>
      <c r="D21" s="107">
        <f>B21/('Нормы по школам'!C22/100*25)*100</f>
        <v>68.800000000000011</v>
      </c>
      <c r="E21" s="132">
        <f>C21*'Нормы по школам'!D22/'Нормы по школам'!C22</f>
        <v>1.4964</v>
      </c>
      <c r="F21" s="132">
        <f>C21*'Нормы по школам'!E22/'Нормы по школам'!C22</f>
        <v>1.6512</v>
      </c>
      <c r="G21" s="132">
        <f>C21*'Нормы по школам'!F22/'Нормы по школам'!C22</f>
        <v>2.4251999999999998</v>
      </c>
      <c r="H21" s="133">
        <f>C21*'Нормы по школам'!G22/'Нормы по школам'!C22</f>
        <v>30.96</v>
      </c>
      <c r="I21" s="127">
        <f>AVERAGE('Учреждение (1)'!I21,'Учреждение (2)'!I21,'Учреждение (3)'!I21,'Учреждение (4)'!I21,'Учреждение (5)'!I21)</f>
        <v>54.5</v>
      </c>
      <c r="J21" s="109">
        <f t="shared" si="1"/>
        <v>54.5</v>
      </c>
      <c r="K21" s="107">
        <f>J21/('Нормы по школам'!C22/100*25)*100</f>
        <v>72.666666666666671</v>
      </c>
      <c r="L21" s="160">
        <f>J21*'Нормы по школам'!J22/'Нормы по школам'!I22</f>
        <v>1.5805</v>
      </c>
      <c r="M21" s="160">
        <f>J21*'Нормы по школам'!K22/'Нормы по школам'!I22</f>
        <v>1.7439999999999998</v>
      </c>
      <c r="N21" s="160">
        <f>J21*'Нормы по школам'!L22/'Нормы по школам'!I22</f>
        <v>2.5614999999999997</v>
      </c>
      <c r="O21" s="161">
        <f>J21*'Нормы по школам'!M22/'Нормы по школам'!I22</f>
        <v>32.700000000000003</v>
      </c>
      <c r="P21" s="127" t="e">
        <f>AVERAGE('Учреждение (1)'!P21,'Учреждение (2)'!P21,'Учреждение (3)'!P21,'Учреждение (4)'!P21,'Учреждение (5)'!P21)</f>
        <v>#DIV/0!</v>
      </c>
      <c r="Q21" s="109" t="e">
        <f>P21</f>
        <v>#DIV/0!</v>
      </c>
      <c r="R21" s="131" t="e">
        <f>Q21*100/'Нормы по школам'!C22</f>
        <v>#DIV/0!</v>
      </c>
      <c r="S21" s="132" t="e">
        <f>Q21*'Нормы по школам'!D22/'Нормы по школам'!C22</f>
        <v>#DIV/0!</v>
      </c>
      <c r="T21" s="132" t="e">
        <f>Q21*'Нормы по школам'!E22/'Нормы по школам'!C22</f>
        <v>#DIV/0!</v>
      </c>
      <c r="U21" s="132" t="e">
        <f>Q21*'Нормы по школам'!F22/'Нормы по школам'!C22</f>
        <v>#DIV/0!</v>
      </c>
      <c r="V21" s="134" t="e">
        <f>Q21*'Нормы по школам'!G22/'Нормы по школам'!C22</f>
        <v>#DIV/0!</v>
      </c>
      <c r="W21" s="127" t="e">
        <f>AVERAGE('Учреждение (1)'!W21,'Учреждение (2)'!W21,'Учреждение (3)'!W21,'Учреждение (4)'!W21,'Учреждение (5)'!W21)</f>
        <v>#DIV/0!</v>
      </c>
      <c r="X21" s="119" t="e">
        <f t="shared" si="2"/>
        <v>#DIV/0!</v>
      </c>
      <c r="Y21" s="107" t="e">
        <f>X21/('Нормы по школам'!C22/100*35)*100</f>
        <v>#DIV/0!</v>
      </c>
      <c r="Z21" s="160" t="e">
        <f>X21*'Нормы по школам'!J22/'Нормы по школам'!I22</f>
        <v>#DIV/0!</v>
      </c>
      <c r="AA21" s="160" t="e">
        <f>X21*'Нормы по школам'!K22/'Нормы по школам'!I22</f>
        <v>#DIV/0!</v>
      </c>
      <c r="AB21" s="160" t="e">
        <f>X21*'Нормы по школам'!L22/'Нормы по школам'!I22</f>
        <v>#DIV/0!</v>
      </c>
      <c r="AC21" s="161" t="e">
        <f>X21*'Нормы по школам'!M22/'Нормы по школам'!I22</f>
        <v>#DIV/0!</v>
      </c>
      <c r="AD21" s="127" t="e">
        <f>AVERAGE('Учреждение (1)'!AD21,'Учреждение (2)'!AD21,'Учреждение (3)'!AD21,'Учреждение (4)'!AD21,'Учреждение (5)'!AD21)</f>
        <v>#DIV/0!</v>
      </c>
      <c r="AE21" s="109" t="e">
        <f>AD21</f>
        <v>#DIV/0!</v>
      </c>
      <c r="AF21" s="107" t="e">
        <f>AE21/('Нормы по школам'!C22/100*60)*100</f>
        <v>#DIV/0!</v>
      </c>
      <c r="AG21" s="132" t="e">
        <f>AE21*'Нормы по школам'!D22/'Нормы по школам'!C22</f>
        <v>#DIV/0!</v>
      </c>
      <c r="AH21" s="132" t="e">
        <f>AE21*'Нормы по школам'!E22/'Нормы по школам'!C22</f>
        <v>#DIV/0!</v>
      </c>
      <c r="AI21" s="132" t="e">
        <f>AE21*'Нормы по школам'!F22/'Нормы по школам'!C22</f>
        <v>#DIV/0!</v>
      </c>
      <c r="AJ21" s="133" t="e">
        <f>AE21*'Нормы по школам'!G22/'Нормы по школам'!C22</f>
        <v>#DIV/0!</v>
      </c>
      <c r="AK21" s="127" t="e">
        <f>AVERAGE('Учреждение (1)'!AK21,'Учреждение (2)'!AK21,'Учреждение (3)'!AK21,'Учреждение (4)'!AK21,'Учреждение (5)'!AK21)</f>
        <v>#DIV/0!</v>
      </c>
      <c r="AL21" s="109" t="e">
        <f t="shared" si="3"/>
        <v>#DIV/0!</v>
      </c>
      <c r="AM21" s="107" t="e">
        <f>AL21/('Нормы по школам'!C22/100*60)*100</f>
        <v>#DIV/0!</v>
      </c>
      <c r="AN21" s="160" t="e">
        <f>AL21*'Нормы по школам'!J22/'Нормы по школам'!I22</f>
        <v>#DIV/0!</v>
      </c>
      <c r="AO21" s="160" t="e">
        <f>AL21*'Нормы по школам'!K22/'Нормы по школам'!I22</f>
        <v>#DIV/0!</v>
      </c>
      <c r="AP21" s="160" t="e">
        <f>AL21*'Нормы по школам'!L22/'Нормы по школам'!I22</f>
        <v>#DIV/0!</v>
      </c>
      <c r="AQ21" s="161" t="e">
        <f>AL21*'Нормы по школам'!M22/'Нормы по школам'!I22</f>
        <v>#DIV/0!</v>
      </c>
    </row>
    <row r="22" spans="1:43" s="27" customFormat="1" ht="15" customHeight="1" thickBot="1">
      <c r="A22" s="143" t="s">
        <v>75</v>
      </c>
      <c r="B22" s="127" t="e">
        <f>AVERAGE('Учреждение (1)'!B22,'Учреждение (2)'!B22,'Учреждение (3)'!B22,'Учреждение (4)'!B22,'Учреждение (5)'!B22)</f>
        <v>#DIV/0!</v>
      </c>
      <c r="C22" s="119" t="e">
        <f t="shared" si="0"/>
        <v>#DIV/0!</v>
      </c>
      <c r="D22" s="107" t="e">
        <f>B22/('Нормы по школам'!C23/100*25)*100</f>
        <v>#DIV/0!</v>
      </c>
      <c r="E22" s="132" t="e">
        <f>C22*'Нормы по школам'!D23/'Нормы по школам'!C23</f>
        <v>#DIV/0!</v>
      </c>
      <c r="F22" s="132" t="e">
        <f>C22*'Нормы по школам'!E23/'Нормы по школам'!C23</f>
        <v>#DIV/0!</v>
      </c>
      <c r="G22" s="132" t="e">
        <f>C22*'Нормы по школам'!F23/'Нормы по школам'!C23</f>
        <v>#DIV/0!</v>
      </c>
      <c r="H22" s="133" t="e">
        <f>C22*'Нормы по школам'!G23/'Нормы по школам'!C23</f>
        <v>#DIV/0!</v>
      </c>
      <c r="I22" s="127" t="e">
        <f>AVERAGE('Учреждение (1)'!I22,'Учреждение (2)'!I22,'Учреждение (3)'!I22,'Учреждение (4)'!I22,'Учреждение (5)'!I22)</f>
        <v>#DIV/0!</v>
      </c>
      <c r="J22" s="109" t="e">
        <f t="shared" si="1"/>
        <v>#DIV/0!</v>
      </c>
      <c r="K22" s="107" t="e">
        <f>J22/('Нормы по школам'!C23/100*25)*100</f>
        <v>#DIV/0!</v>
      </c>
      <c r="L22" s="160" t="e">
        <f>J22*'Нормы по школам'!J23/'Нормы по школам'!I23</f>
        <v>#DIV/0!</v>
      </c>
      <c r="M22" s="160" t="e">
        <f>J22*'Нормы по школам'!K23/'Нормы по школам'!I23</f>
        <v>#DIV/0!</v>
      </c>
      <c r="N22" s="160" t="e">
        <f>J22*'Нормы по школам'!L23/'Нормы по школам'!I23</f>
        <v>#DIV/0!</v>
      </c>
      <c r="O22" s="161" t="e">
        <f>J22*'Нормы по школам'!M23/'Нормы по школам'!I23</f>
        <v>#DIV/0!</v>
      </c>
      <c r="P22" s="127" t="e">
        <f>AVERAGE('Учреждение (1)'!P22,'Учреждение (2)'!P22,'Учреждение (3)'!P22,'Учреждение (4)'!P22,'Учреждение (5)'!P22)</f>
        <v>#DIV/0!</v>
      </c>
      <c r="Q22" s="109" t="e">
        <f>P22</f>
        <v>#DIV/0!</v>
      </c>
      <c r="R22" s="131" t="e">
        <f>Q22*100/'Нормы по школам'!C23</f>
        <v>#DIV/0!</v>
      </c>
      <c r="S22" s="132" t="e">
        <f>Q22*'Нормы по школам'!D23/'Нормы по школам'!C23</f>
        <v>#DIV/0!</v>
      </c>
      <c r="T22" s="132" t="e">
        <f>Q22*'Нормы по школам'!E23/'Нормы по школам'!C23</f>
        <v>#DIV/0!</v>
      </c>
      <c r="U22" s="132" t="e">
        <f>Q22*'Нормы по школам'!F23/'Нормы по школам'!C23</f>
        <v>#DIV/0!</v>
      </c>
      <c r="V22" s="134" t="e">
        <f>Q22*'Нормы по школам'!G23/'Нормы по школам'!C23</f>
        <v>#DIV/0!</v>
      </c>
      <c r="W22" s="127" t="e">
        <f>AVERAGE('Учреждение (1)'!W22,'Учреждение (2)'!W22,'Учреждение (3)'!W22,'Учреждение (4)'!W22,'Учреждение (5)'!W22)</f>
        <v>#DIV/0!</v>
      </c>
      <c r="X22" s="119" t="e">
        <f t="shared" si="2"/>
        <v>#DIV/0!</v>
      </c>
      <c r="Y22" s="107" t="e">
        <f>X22/('Нормы по школам'!C23/100*35)*100</f>
        <v>#DIV/0!</v>
      </c>
      <c r="Z22" s="160" t="e">
        <f>X22*'Нормы по школам'!J23/'Нормы по школам'!I23</f>
        <v>#DIV/0!</v>
      </c>
      <c r="AA22" s="160" t="e">
        <f>X22*'Нормы по школам'!K23/'Нормы по школам'!I23</f>
        <v>#DIV/0!</v>
      </c>
      <c r="AB22" s="160" t="e">
        <f>X22*'Нормы по школам'!L23/'Нормы по школам'!I23</f>
        <v>#DIV/0!</v>
      </c>
      <c r="AC22" s="161" t="e">
        <f>X22*'Нормы по школам'!M23/'Нормы по школам'!I23</f>
        <v>#DIV/0!</v>
      </c>
      <c r="AD22" s="127" t="e">
        <f>AVERAGE('Учреждение (1)'!AD22,'Учреждение (2)'!AD22,'Учреждение (3)'!AD22,'Учреждение (4)'!AD22,'Учреждение (5)'!AD22)</f>
        <v>#DIV/0!</v>
      </c>
      <c r="AE22" s="109" t="e">
        <f>AD22</f>
        <v>#DIV/0!</v>
      </c>
      <c r="AF22" s="107" t="e">
        <f>AE22/('Нормы по школам'!C23/100*60)*100</f>
        <v>#DIV/0!</v>
      </c>
      <c r="AG22" s="132" t="e">
        <f>AE22*'Нормы по школам'!D23/'Нормы по школам'!C23</f>
        <v>#DIV/0!</v>
      </c>
      <c r="AH22" s="132" t="e">
        <f>AE22*'Нормы по школам'!E23/'Нормы по школам'!C23</f>
        <v>#DIV/0!</v>
      </c>
      <c r="AI22" s="132" t="e">
        <f>AE22*'Нормы по школам'!F23/'Нормы по школам'!C23</f>
        <v>#DIV/0!</v>
      </c>
      <c r="AJ22" s="133" t="e">
        <f>AE22*'Нормы по школам'!G23/'Нормы по школам'!C23</f>
        <v>#DIV/0!</v>
      </c>
      <c r="AK22" s="127" t="e">
        <f>AVERAGE('Учреждение (1)'!AK22,'Учреждение (2)'!AK22,'Учреждение (3)'!AK22,'Учреждение (4)'!AK22,'Учреждение (5)'!AK22)</f>
        <v>#DIV/0!</v>
      </c>
      <c r="AL22" s="109" t="e">
        <f t="shared" si="3"/>
        <v>#DIV/0!</v>
      </c>
      <c r="AM22" s="107" t="e">
        <f>AL22/('Нормы по школам'!C23/100*60)*100</f>
        <v>#DIV/0!</v>
      </c>
      <c r="AN22" s="160" t="e">
        <f>AL22*'Нормы по школам'!J23/'Нормы по школам'!I23</f>
        <v>#DIV/0!</v>
      </c>
      <c r="AO22" s="160" t="e">
        <f>AL22*'Нормы по школам'!K23/'Нормы по школам'!I23</f>
        <v>#DIV/0!</v>
      </c>
      <c r="AP22" s="160" t="e">
        <f>AL22*'Нормы по школам'!L23/'Нормы по школам'!I23</f>
        <v>#DIV/0!</v>
      </c>
      <c r="AQ22" s="161" t="e">
        <f>AL22*'Нормы по школам'!M23/'Нормы по школам'!I23</f>
        <v>#DIV/0!</v>
      </c>
    </row>
    <row r="23" spans="1:43" s="27" customFormat="1" ht="15" customHeight="1" thickBot="1">
      <c r="A23" s="144" t="s">
        <v>74</v>
      </c>
      <c r="B23" s="127">
        <f>AVERAGE('Учреждение (1)'!B23,'Учреждение (2)'!B23,'Учреждение (3)'!B23,'Учреждение (4)'!B23,'Учреждение (5)'!B23)</f>
        <v>22.2</v>
      </c>
      <c r="C23" s="119">
        <f t="shared" si="0"/>
        <v>22.2</v>
      </c>
      <c r="D23" s="107">
        <f>B23/('Нормы по школам'!C24/100*25)*100</f>
        <v>59.199999999999996</v>
      </c>
      <c r="E23" s="132">
        <f>C23*'Нормы по школам'!D24/'Нормы по школам'!C24</f>
        <v>0.64379999999999993</v>
      </c>
      <c r="F23" s="132">
        <f>C23*'Нормы по школам'!E24/'Нормы по школам'!C24</f>
        <v>0.71039999999999992</v>
      </c>
      <c r="G23" s="132">
        <f>C23*'Нормы по школам'!F24/'Нормы по школам'!C24</f>
        <v>0.8879999999999999</v>
      </c>
      <c r="H23" s="133">
        <f>C23*'Нормы по школам'!G24/'Нормы по школам'!C24</f>
        <v>13.098000000000001</v>
      </c>
      <c r="I23" s="127">
        <f>AVERAGE('Учреждение (1)'!I23,'Учреждение (2)'!I23,'Учреждение (3)'!I23,'Учреждение (4)'!I23,'Учреждение (5)'!I23)</f>
        <v>14.2</v>
      </c>
      <c r="J23" s="109">
        <f t="shared" si="1"/>
        <v>14.2</v>
      </c>
      <c r="K23" s="107">
        <f>J23/('Нормы по школам'!C24/100*25)*100</f>
        <v>37.866666666666667</v>
      </c>
      <c r="L23" s="160">
        <f>J23*'Нормы по школам'!J24/'Нормы по школам'!I24</f>
        <v>0.4118</v>
      </c>
      <c r="M23" s="160">
        <f>J23*'Нормы по школам'!K24/'Нормы по школам'!I24</f>
        <v>0.45439999999999992</v>
      </c>
      <c r="N23" s="160">
        <f>J23*'Нормы по школам'!L24/'Нормы по школам'!I24</f>
        <v>0.56799999999999995</v>
      </c>
      <c r="O23" s="161">
        <f>J23*'Нормы по школам'!M24/'Нормы по школам'!I24</f>
        <v>8.3780000000000001</v>
      </c>
      <c r="P23" s="127" t="e">
        <f>AVERAGE('Учреждение (1)'!P23,'Учреждение (2)'!P23,'Учреждение (3)'!P23,'Учреждение (4)'!P23,'Учреждение (5)'!P23)</f>
        <v>#DIV/0!</v>
      </c>
      <c r="Q23" s="109" t="e">
        <f>P23</f>
        <v>#DIV/0!</v>
      </c>
      <c r="R23" s="131" t="e">
        <f>Q23*100/'Нормы по школам'!C24</f>
        <v>#DIV/0!</v>
      </c>
      <c r="S23" s="132" t="e">
        <f>Q23*'Нормы по школам'!D24/'Нормы по школам'!C24</f>
        <v>#DIV/0!</v>
      </c>
      <c r="T23" s="132" t="e">
        <f>Q23*'Нормы по школам'!E24/'Нормы по школам'!C24</f>
        <v>#DIV/0!</v>
      </c>
      <c r="U23" s="132" t="e">
        <f>Q23*'Нормы по школам'!F24/'Нормы по школам'!C24</f>
        <v>#DIV/0!</v>
      </c>
      <c r="V23" s="134" t="e">
        <f>Q23*'Нормы по школам'!G24/'Нормы по школам'!C24</f>
        <v>#DIV/0!</v>
      </c>
      <c r="W23" s="127" t="e">
        <f>AVERAGE('Учреждение (1)'!W23,'Учреждение (2)'!W23,'Учреждение (3)'!W23,'Учреждение (4)'!W23,'Учреждение (5)'!W23)</f>
        <v>#DIV/0!</v>
      </c>
      <c r="X23" s="119" t="e">
        <f t="shared" si="2"/>
        <v>#DIV/0!</v>
      </c>
      <c r="Y23" s="107" t="e">
        <f>X23/('Нормы по школам'!C24/100*35)*100</f>
        <v>#DIV/0!</v>
      </c>
      <c r="Z23" s="160" t="e">
        <f>X23*'Нормы по школам'!J24/'Нормы по школам'!I24</f>
        <v>#DIV/0!</v>
      </c>
      <c r="AA23" s="160" t="e">
        <f>X23*'Нормы по школам'!K24/'Нормы по школам'!I24</f>
        <v>#DIV/0!</v>
      </c>
      <c r="AB23" s="160" t="e">
        <f>X23*'Нормы по школам'!L24/'Нормы по школам'!I24</f>
        <v>#DIV/0!</v>
      </c>
      <c r="AC23" s="161" t="e">
        <f>X23*'Нормы по школам'!M24/'Нормы по школам'!I24</f>
        <v>#DIV/0!</v>
      </c>
      <c r="AD23" s="127" t="e">
        <f>AVERAGE('Учреждение (1)'!AD23,'Учреждение (2)'!AD23,'Учреждение (3)'!AD23,'Учреждение (4)'!AD23,'Учреждение (5)'!AD23)</f>
        <v>#DIV/0!</v>
      </c>
      <c r="AE23" s="109" t="e">
        <f>AD23</f>
        <v>#DIV/0!</v>
      </c>
      <c r="AF23" s="107" t="e">
        <f>AE23/('Нормы по школам'!C24/100*60)*100</f>
        <v>#DIV/0!</v>
      </c>
      <c r="AG23" s="132" t="e">
        <f>AE23*'Нормы по школам'!D24/'Нормы по школам'!C24</f>
        <v>#DIV/0!</v>
      </c>
      <c r="AH23" s="132" t="e">
        <f>AE23*'Нормы по школам'!E24/'Нормы по школам'!C24</f>
        <v>#DIV/0!</v>
      </c>
      <c r="AI23" s="132" t="e">
        <f>AE23*'Нормы по школам'!F24/'Нормы по школам'!C24</f>
        <v>#DIV/0!</v>
      </c>
      <c r="AJ23" s="133" t="e">
        <f>AE23*'Нормы по школам'!G24/'Нормы по школам'!C24</f>
        <v>#DIV/0!</v>
      </c>
      <c r="AK23" s="127" t="e">
        <f>AVERAGE('Учреждение (1)'!AK23,'Учреждение (2)'!AK23,'Учреждение (3)'!AK23,'Учреждение (4)'!AK23,'Учреждение (5)'!AK23)</f>
        <v>#DIV/0!</v>
      </c>
      <c r="AL23" s="109" t="e">
        <f t="shared" si="3"/>
        <v>#DIV/0!</v>
      </c>
      <c r="AM23" s="107" t="e">
        <f>AL23/('Нормы по школам'!C24/100*60)*100</f>
        <v>#DIV/0!</v>
      </c>
      <c r="AN23" s="160" t="e">
        <f>AL23*'Нормы по школам'!J24/'Нормы по школам'!I24</f>
        <v>#DIV/0!</v>
      </c>
      <c r="AO23" s="160" t="e">
        <f>AL23*'Нормы по школам'!K24/'Нормы по школам'!I24</f>
        <v>#DIV/0!</v>
      </c>
      <c r="AP23" s="160" t="e">
        <f>AL23*'Нормы по школам'!L24/'Нормы по школам'!I24</f>
        <v>#DIV/0!</v>
      </c>
      <c r="AQ23" s="161" t="e">
        <f>AL23*'Нормы по школам'!M24/'Нормы по школам'!I24</f>
        <v>#DIV/0!</v>
      </c>
    </row>
    <row r="24" spans="1:43" s="27" customFormat="1" ht="15" customHeight="1" thickBot="1">
      <c r="A24" s="140" t="s">
        <v>76</v>
      </c>
      <c r="B24" s="127">
        <f>AVERAGE('Учреждение (1)'!B24,'Учреждение (2)'!B24,'Учреждение (3)'!B24,'Учреждение (4)'!B24,'Учреждение (5)'!B24)</f>
        <v>10.5</v>
      </c>
      <c r="C24" s="119">
        <f t="shared" si="0"/>
        <v>10.5</v>
      </c>
      <c r="D24" s="107">
        <f>B24/('Нормы по школам'!C25/100*25)*100</f>
        <v>84</v>
      </c>
      <c r="E24" s="132">
        <f>C24*'Нормы по школам'!D25/'Нормы по школам'!C25</f>
        <v>1.89</v>
      </c>
      <c r="F24" s="132">
        <f>C24*'Нормы по школам'!E25/'Нормы по школам'!C25</f>
        <v>0.94499999999999995</v>
      </c>
      <c r="G24" s="132">
        <f>C24*'Нормы по школам'!F25/'Нормы по школам'!C25</f>
        <v>0.315</v>
      </c>
      <c r="H24" s="133">
        <f>C24*'Нормы по школам'!G25/'Нормы по школам'!C25</f>
        <v>17.745000000000001</v>
      </c>
      <c r="I24" s="127">
        <f>AVERAGE('Учреждение (1)'!I24,'Учреждение (2)'!I24,'Учреждение (3)'!I24,'Учреждение (4)'!I24,'Учреждение (5)'!I24)</f>
        <v>23.2</v>
      </c>
      <c r="J24" s="109">
        <f t="shared" si="1"/>
        <v>23.2</v>
      </c>
      <c r="K24" s="107">
        <f>J24/('Нормы по школам'!C25/100*25)*100</f>
        <v>185.6</v>
      </c>
      <c r="L24" s="160">
        <f>J24*'Нормы по школам'!J25/'Нормы по школам'!I25</f>
        <v>4.1760000000000002</v>
      </c>
      <c r="M24" s="160">
        <f>J24*'Нормы по школам'!K25/'Нормы по школам'!I25</f>
        <v>2.0880000000000001</v>
      </c>
      <c r="N24" s="160">
        <f>J24*'Нормы по школам'!L25/'Нормы по школам'!I25</f>
        <v>0.69599999999999995</v>
      </c>
      <c r="O24" s="161">
        <f>J24*'Нормы по школам'!M25/'Нормы по школам'!I25</f>
        <v>39.207999999999998</v>
      </c>
      <c r="P24" s="127" t="e">
        <f>AVERAGE('Учреждение (1)'!P24,'Учреждение (2)'!P24,'Учреждение (3)'!P24,'Учреждение (4)'!P24,'Учреждение (5)'!P24)</f>
        <v>#DIV/0!</v>
      </c>
      <c r="Q24" s="109" t="e">
        <f>P24</f>
        <v>#DIV/0!</v>
      </c>
      <c r="R24" s="131" t="e">
        <f>Q24*100/'Нормы по школам'!C25</f>
        <v>#DIV/0!</v>
      </c>
      <c r="S24" s="132" t="e">
        <f>Q24*'Нормы по школам'!D25/'Нормы по школам'!C25</f>
        <v>#DIV/0!</v>
      </c>
      <c r="T24" s="132" t="e">
        <f>Q24*'Нормы по школам'!E25/'Нормы по школам'!C25</f>
        <v>#DIV/0!</v>
      </c>
      <c r="U24" s="132" t="e">
        <f>Q24*'Нормы по школам'!F25/'Нормы по школам'!C25</f>
        <v>#DIV/0!</v>
      </c>
      <c r="V24" s="134" t="e">
        <f>Q24*'Нормы по школам'!G25/'Нормы по школам'!C25</f>
        <v>#DIV/0!</v>
      </c>
      <c r="W24" s="127" t="e">
        <f>AVERAGE('Учреждение (1)'!W24,'Учреждение (2)'!W24,'Учреждение (3)'!W24,'Учреждение (4)'!W24,'Учреждение (5)'!W24)</f>
        <v>#DIV/0!</v>
      </c>
      <c r="X24" s="119" t="e">
        <f t="shared" si="2"/>
        <v>#DIV/0!</v>
      </c>
      <c r="Y24" s="107" t="e">
        <f>X24/('Нормы по школам'!C25/100*35)*100</f>
        <v>#DIV/0!</v>
      </c>
      <c r="Z24" s="160" t="e">
        <f>X24*'Нормы по школам'!J25/'Нормы по школам'!I25</f>
        <v>#DIV/0!</v>
      </c>
      <c r="AA24" s="160" t="e">
        <f>X24*'Нормы по школам'!K25/'Нормы по школам'!I25</f>
        <v>#DIV/0!</v>
      </c>
      <c r="AB24" s="160" t="e">
        <f>X24*'Нормы по школам'!L25/'Нормы по школам'!I25</f>
        <v>#DIV/0!</v>
      </c>
      <c r="AC24" s="161" t="e">
        <f>X24*'Нормы по школам'!M25/'Нормы по школам'!I25</f>
        <v>#DIV/0!</v>
      </c>
      <c r="AD24" s="127" t="e">
        <f>AVERAGE('Учреждение (1)'!AD24,'Учреждение (2)'!AD24,'Учреждение (3)'!AD24,'Учреждение (4)'!AD24,'Учреждение (5)'!AD24)</f>
        <v>#DIV/0!</v>
      </c>
      <c r="AE24" s="109" t="e">
        <f>AD24</f>
        <v>#DIV/0!</v>
      </c>
      <c r="AF24" s="107" t="e">
        <f>AE24/('Нормы по школам'!C25/100*60)*100</f>
        <v>#DIV/0!</v>
      </c>
      <c r="AG24" s="132" t="e">
        <f>AE24*'Нормы по школам'!D25/'Нормы по школам'!C25</f>
        <v>#DIV/0!</v>
      </c>
      <c r="AH24" s="132" t="e">
        <f>AE24*'Нормы по школам'!E25/'Нормы по школам'!C25</f>
        <v>#DIV/0!</v>
      </c>
      <c r="AI24" s="132" t="e">
        <f>AE24*'Нормы по школам'!F25/'Нормы по школам'!C25</f>
        <v>#DIV/0!</v>
      </c>
      <c r="AJ24" s="133" t="e">
        <f>AE24*'Нормы по школам'!G25/'Нормы по школам'!C25</f>
        <v>#DIV/0!</v>
      </c>
      <c r="AK24" s="127" t="e">
        <f>AVERAGE('Учреждение (1)'!AK24,'Учреждение (2)'!AK24,'Учреждение (3)'!AK24,'Учреждение (4)'!AK24,'Учреждение (5)'!AK24)</f>
        <v>#DIV/0!</v>
      </c>
      <c r="AL24" s="109" t="e">
        <f t="shared" si="3"/>
        <v>#DIV/0!</v>
      </c>
      <c r="AM24" s="107" t="e">
        <f>AL24/('Нормы по школам'!C25/100*60)*100</f>
        <v>#DIV/0!</v>
      </c>
      <c r="AN24" s="160" t="e">
        <f>AL24*'Нормы по школам'!J25/'Нормы по школам'!I25</f>
        <v>#DIV/0!</v>
      </c>
      <c r="AO24" s="160" t="e">
        <f>AL24*'Нормы по школам'!K25/'Нормы по школам'!I25</f>
        <v>#DIV/0!</v>
      </c>
      <c r="AP24" s="160" t="e">
        <f>AL24*'Нормы по школам'!L25/'Нормы по школам'!I25</f>
        <v>#DIV/0!</v>
      </c>
      <c r="AQ24" s="161" t="e">
        <f>AL24*'Нормы по школам'!M25/'Нормы по школам'!I25</f>
        <v>#DIV/0!</v>
      </c>
    </row>
    <row r="25" spans="1:43" s="27" customFormat="1" ht="15" customHeight="1" thickBot="1">
      <c r="A25" s="140" t="s">
        <v>32</v>
      </c>
      <c r="B25" s="127">
        <f>AVERAGE('Учреждение (1)'!B25,'Учреждение (2)'!B25,'Учреждение (3)'!B25,'Учреждение (4)'!B25,'Учреждение (5)'!B25)</f>
        <v>2.4</v>
      </c>
      <c r="C25" s="119">
        <f>B25*'Нормы по школам'!C26/'Нормы по школам'!B26</f>
        <v>2.3519999999999999</v>
      </c>
      <c r="D25" s="107">
        <f>B25/('Нормы по школам'!C26/100*25)*100</f>
        <v>97.959183673469369</v>
      </c>
      <c r="E25" s="132">
        <f>C25*'Нормы по школам'!D26/'Нормы по школам'!C26</f>
        <v>0.6185759999999999</v>
      </c>
      <c r="F25" s="132">
        <f>C25*'Нормы по школам'!E26/'Нормы по школам'!C26</f>
        <v>0.62563199999999997</v>
      </c>
      <c r="G25" s="132">
        <f>C25*'Нормы по школам'!F26/'Нормы по школам'!C26</f>
        <v>0</v>
      </c>
      <c r="H25" s="133">
        <f>C25*'Нормы по школам'!G26/'Нормы по школам'!C26</f>
        <v>8.2319999999999993</v>
      </c>
      <c r="I25" s="127">
        <f>AVERAGE('Учреждение (1)'!I25,'Учреждение (2)'!I25,'Учреждение (3)'!I25,'Учреждение (4)'!I25,'Учреждение (5)'!I25)</f>
        <v>3.3</v>
      </c>
      <c r="J25" s="109">
        <f>I25*'Нормы по школам'!I26/'Нормы по школам'!H26</f>
        <v>3.2449999999999997</v>
      </c>
      <c r="K25" s="107">
        <f>J25/('Нормы по школам'!C26/100*25)*100</f>
        <v>132.44897959183669</v>
      </c>
      <c r="L25" s="160">
        <f>J25*'Нормы по школам'!J26/'Нормы по школам'!I26</f>
        <v>0.85343499999999994</v>
      </c>
      <c r="M25" s="160">
        <f>J25*'Нормы по школам'!K26/'Нормы по школам'!I26</f>
        <v>0.86316999999999999</v>
      </c>
      <c r="N25" s="160">
        <f>J25*'Нормы по школам'!L26/'Нормы по школам'!I26</f>
        <v>0</v>
      </c>
      <c r="O25" s="161">
        <f>J25*'Нормы по школам'!M26/'Нормы по школам'!I26</f>
        <v>11.357499999999998</v>
      </c>
      <c r="P25" s="127" t="e">
        <f>AVERAGE('Учреждение (1)'!P25,'Учреждение (2)'!P25,'Учреждение (3)'!P25,'Учреждение (4)'!P25,'Учреждение (5)'!P25)</f>
        <v>#DIV/0!</v>
      </c>
      <c r="Q25" s="109" t="e">
        <f>P25*'Нормы по школам'!C26/'Нормы по школам'!B26</f>
        <v>#DIV/0!</v>
      </c>
      <c r="R25" s="131" t="e">
        <f>Q25*100/'Нормы по школам'!C26</f>
        <v>#DIV/0!</v>
      </c>
      <c r="S25" s="132" t="e">
        <f>Q25*'Нормы по школам'!D26/'Нормы по школам'!C26</f>
        <v>#DIV/0!</v>
      </c>
      <c r="T25" s="132" t="e">
        <f>Q25*'Нормы по школам'!E26/'Нормы по школам'!C26</f>
        <v>#DIV/0!</v>
      </c>
      <c r="U25" s="132" t="e">
        <f>Q25*'Нормы по школам'!F26/'Нормы по школам'!C26</f>
        <v>#DIV/0!</v>
      </c>
      <c r="V25" s="134" t="e">
        <f>Q25*'Нормы по школам'!G26/'Нормы по школам'!C26</f>
        <v>#DIV/0!</v>
      </c>
      <c r="W25" s="127" t="e">
        <f>AVERAGE('Учреждение (1)'!W25,'Учреждение (2)'!W25,'Учреждение (3)'!W25,'Учреждение (4)'!W25,'Учреждение (5)'!W25)</f>
        <v>#DIV/0!</v>
      </c>
      <c r="X25" s="119" t="e">
        <f>W25*'Нормы по школам'!I26/'Нормы по школам'!H26</f>
        <v>#DIV/0!</v>
      </c>
      <c r="Y25" s="107" t="e">
        <f>X25/('Нормы по школам'!C26/100*35)*100</f>
        <v>#DIV/0!</v>
      </c>
      <c r="Z25" s="160" t="e">
        <f>X25*'Нормы по школам'!J26/'Нормы по школам'!I26</f>
        <v>#DIV/0!</v>
      </c>
      <c r="AA25" s="160" t="e">
        <f>X25*'Нормы по школам'!K26/'Нормы по школам'!I26</f>
        <v>#DIV/0!</v>
      </c>
      <c r="AB25" s="160" t="e">
        <f>X25*'Нормы по школам'!L26/'Нормы по школам'!I26</f>
        <v>#DIV/0!</v>
      </c>
      <c r="AC25" s="161" t="e">
        <f>X25*'Нормы по школам'!M26/'Нормы по школам'!I26</f>
        <v>#DIV/0!</v>
      </c>
      <c r="AD25" s="127" t="e">
        <f>AVERAGE('Учреждение (1)'!AD25,'Учреждение (2)'!AD25,'Учреждение (3)'!AD25,'Учреждение (4)'!AD25,'Учреждение (5)'!AD25)</f>
        <v>#DIV/0!</v>
      </c>
      <c r="AE25" s="109" t="e">
        <f>AD25*'Нормы по школам'!C26/'Нормы по школам'!B26</f>
        <v>#DIV/0!</v>
      </c>
      <c r="AF25" s="107" t="e">
        <f>AE25/('Нормы по школам'!C26/100*60)*100</f>
        <v>#DIV/0!</v>
      </c>
      <c r="AG25" s="132" t="e">
        <f>AE25*'Нормы по школам'!D26/'Нормы по школам'!C26</f>
        <v>#DIV/0!</v>
      </c>
      <c r="AH25" s="132" t="e">
        <f>AE25*'Нормы по школам'!E26/'Нормы по школам'!C26</f>
        <v>#DIV/0!</v>
      </c>
      <c r="AI25" s="132" t="e">
        <f>AE25*'Нормы по школам'!F26/'Нормы по школам'!C26</f>
        <v>#DIV/0!</v>
      </c>
      <c r="AJ25" s="133" t="e">
        <f>AE25*'Нормы по школам'!G26/'Нормы по школам'!C26</f>
        <v>#DIV/0!</v>
      </c>
      <c r="AK25" s="127" t="e">
        <f>AVERAGE('Учреждение (1)'!AK25,'Учреждение (2)'!AK25,'Учреждение (3)'!AK25,'Учреждение (4)'!AK25,'Учреждение (5)'!AK25)</f>
        <v>#DIV/0!</v>
      </c>
      <c r="AL25" s="109" t="e">
        <f>AK25*'Нормы по школам'!I26/'Нормы по школам'!H26</f>
        <v>#DIV/0!</v>
      </c>
      <c r="AM25" s="107" t="e">
        <f>AL25/('Нормы по школам'!C26/100*60)*100</f>
        <v>#DIV/0!</v>
      </c>
      <c r="AN25" s="160" t="e">
        <f>AL25*'Нормы по школам'!J26/'Нормы по школам'!I26</f>
        <v>#DIV/0!</v>
      </c>
      <c r="AO25" s="160" t="e">
        <f>AL25*'Нормы по школам'!K26/'Нормы по школам'!I26</f>
        <v>#DIV/0!</v>
      </c>
      <c r="AP25" s="160" t="e">
        <f>AL25*'Нормы по школам'!L26/'Нормы по школам'!I26</f>
        <v>#DIV/0!</v>
      </c>
      <c r="AQ25" s="161" t="e">
        <f>AL25*'Нормы по школам'!M26/'Нормы по школам'!I26</f>
        <v>#DIV/0!</v>
      </c>
    </row>
    <row r="26" spans="1:43" s="27" customFormat="1" ht="15" customHeight="1" thickBot="1">
      <c r="A26" s="140" t="s">
        <v>77</v>
      </c>
      <c r="B26" s="127">
        <f>AVERAGE('Учреждение (1)'!B26,'Учреждение (2)'!B26,'Учреждение (3)'!B26,'Учреждение (4)'!B26,'Учреждение (5)'!B26)</f>
        <v>1.7</v>
      </c>
      <c r="C26" s="119">
        <f t="shared" si="0"/>
        <v>1.7</v>
      </c>
      <c r="D26" s="107">
        <f>B26/('Нормы по школам'!C27/100*25)*100</f>
        <v>68</v>
      </c>
      <c r="E26" s="132">
        <f>C26*'Нормы по школам'!D27/'Нормы по школам'!C27</f>
        <v>4.4200000000000003E-2</v>
      </c>
      <c r="F26" s="132">
        <f>C26*'Нормы по школам'!E27/'Нормы по школам'!C27</f>
        <v>0.255</v>
      </c>
      <c r="G26" s="132">
        <f>C26*'Нормы по школам'!F27/'Нормы по школам'!C27</f>
        <v>6.1199999999999997E-2</v>
      </c>
      <c r="H26" s="133">
        <f>C26*'Нормы по школам'!G27/'Нормы по школам'!C27</f>
        <v>2.754</v>
      </c>
      <c r="I26" s="127">
        <f>AVERAGE('Учреждение (1)'!I26,'Учреждение (2)'!I26,'Учреждение (3)'!I26,'Учреждение (4)'!I26,'Учреждение (5)'!I26)</f>
        <v>2.5</v>
      </c>
      <c r="J26" s="109">
        <f t="shared" si="1"/>
        <v>2.5</v>
      </c>
      <c r="K26" s="107">
        <f>J26/('Нормы по школам'!C27/100*25)*100</f>
        <v>100</v>
      </c>
      <c r="L26" s="160">
        <f>J26*'Нормы по школам'!J27/'Нормы по школам'!I27</f>
        <v>6.5000000000000002E-2</v>
      </c>
      <c r="M26" s="160">
        <f>J26*'Нормы по школам'!K27/'Нормы по школам'!I27</f>
        <v>0.375</v>
      </c>
      <c r="N26" s="160">
        <f>J26*'Нормы по школам'!L27/'Нормы по школам'!I27</f>
        <v>0.09</v>
      </c>
      <c r="O26" s="161">
        <f>J26*'Нормы по школам'!M27/'Нормы по школам'!I27</f>
        <v>4.05</v>
      </c>
      <c r="P26" s="127" t="e">
        <f>AVERAGE('Учреждение (1)'!P26,'Учреждение (2)'!P26,'Учреждение (3)'!P26,'Учреждение (4)'!P26,'Учреждение (5)'!P26)</f>
        <v>#DIV/0!</v>
      </c>
      <c r="Q26" s="109" t="e">
        <f>P26</f>
        <v>#DIV/0!</v>
      </c>
      <c r="R26" s="131" t="e">
        <f>Q26*100/'Нормы по школам'!C27</f>
        <v>#DIV/0!</v>
      </c>
      <c r="S26" s="132" t="e">
        <f>Q26*'Нормы по школам'!D27/'Нормы по школам'!C27</f>
        <v>#DIV/0!</v>
      </c>
      <c r="T26" s="132" t="e">
        <f>Q26*'Нормы по школам'!E27/'Нормы по школам'!C27</f>
        <v>#DIV/0!</v>
      </c>
      <c r="U26" s="132" t="e">
        <f>Q26*'Нормы по школам'!F27/'Нормы по школам'!C27</f>
        <v>#DIV/0!</v>
      </c>
      <c r="V26" s="134" t="e">
        <f>Q26*'Нормы по школам'!G27/'Нормы по школам'!C27</f>
        <v>#DIV/0!</v>
      </c>
      <c r="W26" s="127" t="e">
        <f>AVERAGE('Учреждение (1)'!W26,'Учреждение (2)'!W26,'Учреждение (3)'!W26,'Учреждение (4)'!W26,'Учреждение (5)'!W26)</f>
        <v>#DIV/0!</v>
      </c>
      <c r="X26" s="119" t="e">
        <f t="shared" si="2"/>
        <v>#DIV/0!</v>
      </c>
      <c r="Y26" s="107" t="e">
        <f>X26/('Нормы по школам'!C27/100*35)*100</f>
        <v>#DIV/0!</v>
      </c>
      <c r="Z26" s="160" t="e">
        <f>X26*'Нормы по школам'!J27/'Нормы по школам'!I27</f>
        <v>#DIV/0!</v>
      </c>
      <c r="AA26" s="160" t="e">
        <f>X26*'Нормы по школам'!K27/'Нормы по школам'!I27</f>
        <v>#DIV/0!</v>
      </c>
      <c r="AB26" s="160" t="e">
        <f>X26*'Нормы по школам'!L27/'Нормы по школам'!I27</f>
        <v>#DIV/0!</v>
      </c>
      <c r="AC26" s="161" t="e">
        <f>X26*'Нормы по школам'!M27/'Нормы по школам'!I27</f>
        <v>#DIV/0!</v>
      </c>
      <c r="AD26" s="127" t="e">
        <f>AVERAGE('Учреждение (1)'!AD26,'Учреждение (2)'!AD26,'Учреждение (3)'!AD26,'Учреждение (4)'!AD26,'Учреждение (5)'!AD26)</f>
        <v>#DIV/0!</v>
      </c>
      <c r="AE26" s="109" t="e">
        <f>AD26</f>
        <v>#DIV/0!</v>
      </c>
      <c r="AF26" s="107" t="e">
        <f>AE26/('Нормы по школам'!C27/100*60)*100</f>
        <v>#DIV/0!</v>
      </c>
      <c r="AG26" s="132" t="e">
        <f>AE26*'Нормы по школам'!D27/'Нормы по школам'!C27</f>
        <v>#DIV/0!</v>
      </c>
      <c r="AH26" s="132" t="e">
        <f>AE26*'Нормы по школам'!E27/'Нормы по школам'!C27</f>
        <v>#DIV/0!</v>
      </c>
      <c r="AI26" s="132" t="e">
        <f>AE26*'Нормы по школам'!F27/'Нормы по школам'!C27</f>
        <v>#DIV/0!</v>
      </c>
      <c r="AJ26" s="133" t="e">
        <f>AE26*'Нормы по школам'!G27/'Нормы по школам'!C27</f>
        <v>#DIV/0!</v>
      </c>
      <c r="AK26" s="127" t="e">
        <f>AVERAGE('Учреждение (1)'!AK26,'Учреждение (2)'!AK26,'Учреждение (3)'!AK26,'Учреждение (4)'!AK26,'Учреждение (5)'!AK26)</f>
        <v>#DIV/0!</v>
      </c>
      <c r="AL26" s="109" t="e">
        <f t="shared" si="3"/>
        <v>#DIV/0!</v>
      </c>
      <c r="AM26" s="107" t="e">
        <f>AL26/('Нормы по школам'!C27/100*60)*100</f>
        <v>#DIV/0!</v>
      </c>
      <c r="AN26" s="160" t="e">
        <f>AL26*'Нормы по школам'!J27/'Нормы по школам'!I27</f>
        <v>#DIV/0!</v>
      </c>
      <c r="AO26" s="160" t="e">
        <f>AL26*'Нормы по школам'!K27/'Нормы по школам'!I27</f>
        <v>#DIV/0!</v>
      </c>
      <c r="AP26" s="160" t="e">
        <f>AL26*'Нормы по школам'!L27/'Нормы по школам'!I27</f>
        <v>#DIV/0!</v>
      </c>
      <c r="AQ26" s="161" t="e">
        <f>AL26*'Нормы по школам'!M27/'Нормы по школам'!I27</f>
        <v>#DIV/0!</v>
      </c>
    </row>
    <row r="27" spans="1:43" s="27" customFormat="1" ht="15" customHeight="1" thickBot="1">
      <c r="A27" s="140" t="s">
        <v>34</v>
      </c>
      <c r="B27" s="127">
        <f>AVERAGE('Учреждение (1)'!B27,'Учреждение (2)'!B27,'Учреждение (3)'!B27,'Учреждение (4)'!B27,'Учреждение (5)'!B27)</f>
        <v>4.4000000000000004</v>
      </c>
      <c r="C27" s="119">
        <f t="shared" si="0"/>
        <v>4.4000000000000004</v>
      </c>
      <c r="D27" s="107">
        <f>B27/('Нормы по школам'!C28/100*25)*100</f>
        <v>58.666666666666664</v>
      </c>
      <c r="E27" s="132">
        <f>C27*'Нормы по школам'!D28/'Нормы по школам'!C28</f>
        <v>2.2000000000000002E-2</v>
      </c>
      <c r="F27" s="132">
        <f>C27*'Нормы по школам'!E28/'Нормы по школам'!C28</f>
        <v>3.6300000000000003</v>
      </c>
      <c r="G27" s="132">
        <f>C27*'Нормы по школам'!F28/'Нормы по школам'!C28</f>
        <v>3.5200000000000002E-2</v>
      </c>
      <c r="H27" s="133">
        <f>C27*'Нормы по школам'!G28/'Нормы по школам'!C28</f>
        <v>32.912000000000006</v>
      </c>
      <c r="I27" s="127">
        <f>AVERAGE('Учреждение (1)'!I27,'Учреждение (2)'!I27,'Учреждение (3)'!I27,'Учреждение (4)'!I27,'Учреждение (5)'!I27)</f>
        <v>4.2</v>
      </c>
      <c r="J27" s="109">
        <f t="shared" si="1"/>
        <v>4.2</v>
      </c>
      <c r="K27" s="107">
        <f>J27/('Нормы по школам'!C28/100*25)*100</f>
        <v>56.000000000000007</v>
      </c>
      <c r="L27" s="160">
        <f>J27*'Нормы по школам'!J28/'Нормы по школам'!I28</f>
        <v>2.1000000000000001E-2</v>
      </c>
      <c r="M27" s="160">
        <f>J27*'Нормы по школам'!K28/'Нормы по школам'!I28</f>
        <v>3.4650000000000003</v>
      </c>
      <c r="N27" s="160">
        <f>J27*'Нормы по школам'!L28/'Нормы по школам'!I28</f>
        <v>3.3600000000000005E-2</v>
      </c>
      <c r="O27" s="161">
        <f>J27*'Нормы по школам'!M28/'Нормы по школам'!I28</f>
        <v>31.416000000000004</v>
      </c>
      <c r="P27" s="127" t="e">
        <f>AVERAGE('Учреждение (1)'!P27,'Учреждение (2)'!P27,'Учреждение (3)'!P27,'Учреждение (4)'!P27,'Учреждение (5)'!P27)</f>
        <v>#DIV/0!</v>
      </c>
      <c r="Q27" s="109" t="e">
        <f>P27</f>
        <v>#DIV/0!</v>
      </c>
      <c r="R27" s="131" t="e">
        <f>Q27*100/'Нормы по школам'!C28</f>
        <v>#DIV/0!</v>
      </c>
      <c r="S27" s="132" t="e">
        <f>Q27*'Нормы по школам'!D28/'Нормы по школам'!C28</f>
        <v>#DIV/0!</v>
      </c>
      <c r="T27" s="132" t="e">
        <f>Q27*'Нормы по школам'!E28/'Нормы по школам'!C28</f>
        <v>#DIV/0!</v>
      </c>
      <c r="U27" s="132" t="e">
        <f>Q27*'Нормы по школам'!F28/'Нормы по школам'!C28</f>
        <v>#DIV/0!</v>
      </c>
      <c r="V27" s="134" t="e">
        <f>Q27*'Нормы по школам'!G28/'Нормы по школам'!C28</f>
        <v>#DIV/0!</v>
      </c>
      <c r="W27" s="127" t="e">
        <f>AVERAGE('Учреждение (1)'!W27,'Учреждение (2)'!W27,'Учреждение (3)'!W27,'Учреждение (4)'!W27,'Учреждение (5)'!W27)</f>
        <v>#DIV/0!</v>
      </c>
      <c r="X27" s="119" t="e">
        <f t="shared" si="2"/>
        <v>#DIV/0!</v>
      </c>
      <c r="Y27" s="107" t="e">
        <f>X27/('Нормы по школам'!C28/100*35)*100</f>
        <v>#DIV/0!</v>
      </c>
      <c r="Z27" s="160" t="e">
        <f>X27*'Нормы по школам'!J28/'Нормы по школам'!I28</f>
        <v>#DIV/0!</v>
      </c>
      <c r="AA27" s="160" t="e">
        <f>X27*'Нормы по школам'!K28/'Нормы по школам'!I28</f>
        <v>#DIV/0!</v>
      </c>
      <c r="AB27" s="160" t="e">
        <f>X27*'Нормы по школам'!L28/'Нормы по школам'!I28</f>
        <v>#DIV/0!</v>
      </c>
      <c r="AC27" s="161" t="e">
        <f>X27*'Нормы по школам'!M28/'Нормы по школам'!I28</f>
        <v>#DIV/0!</v>
      </c>
      <c r="AD27" s="127" t="e">
        <f>AVERAGE('Учреждение (1)'!AD27,'Учреждение (2)'!AD27,'Учреждение (3)'!AD27,'Учреждение (4)'!AD27,'Учреждение (5)'!AD27)</f>
        <v>#DIV/0!</v>
      </c>
      <c r="AE27" s="109" t="e">
        <f>AD27</f>
        <v>#DIV/0!</v>
      </c>
      <c r="AF27" s="107" t="e">
        <f>AE27/('Нормы по школам'!C28/100*60)*100</f>
        <v>#DIV/0!</v>
      </c>
      <c r="AG27" s="132" t="e">
        <f>AE27*'Нормы по школам'!D28/'Нормы по школам'!C28</f>
        <v>#DIV/0!</v>
      </c>
      <c r="AH27" s="132" t="e">
        <f>AE27*'Нормы по школам'!E28/'Нормы по школам'!C28</f>
        <v>#DIV/0!</v>
      </c>
      <c r="AI27" s="132" t="e">
        <f>AE27*'Нормы по школам'!F28/'Нормы по школам'!C28</f>
        <v>#DIV/0!</v>
      </c>
      <c r="AJ27" s="133" t="e">
        <f>AE27*'Нормы по школам'!G28/'Нормы по школам'!C28</f>
        <v>#DIV/0!</v>
      </c>
      <c r="AK27" s="127" t="e">
        <f>AVERAGE('Учреждение (1)'!AK27,'Учреждение (2)'!AK27,'Учреждение (3)'!AK27,'Учреждение (4)'!AK27,'Учреждение (5)'!AK27)</f>
        <v>#DIV/0!</v>
      </c>
      <c r="AL27" s="109" t="e">
        <f t="shared" si="3"/>
        <v>#DIV/0!</v>
      </c>
      <c r="AM27" s="107" t="e">
        <f>AL27/('Нормы по школам'!C28/100*60)*100</f>
        <v>#DIV/0!</v>
      </c>
      <c r="AN27" s="160" t="e">
        <f>AL27*'Нормы по школам'!J28/'Нормы по школам'!I28</f>
        <v>#DIV/0!</v>
      </c>
      <c r="AO27" s="160" t="e">
        <f>AL27*'Нормы по школам'!K28/'Нормы по школам'!I28</f>
        <v>#DIV/0!</v>
      </c>
      <c r="AP27" s="160" t="e">
        <f>AL27*'Нормы по школам'!L28/'Нормы по школам'!I28</f>
        <v>#DIV/0!</v>
      </c>
      <c r="AQ27" s="161" t="e">
        <f>AL27*'Нормы по школам'!M28/'Нормы по школам'!I28</f>
        <v>#DIV/0!</v>
      </c>
    </row>
    <row r="28" spans="1:43" s="27" customFormat="1" ht="15" customHeight="1" thickBot="1">
      <c r="A28" s="145" t="s">
        <v>35</v>
      </c>
      <c r="B28" s="127">
        <f>AVERAGE('Учреждение (1)'!B28,'Учреждение (2)'!B28,'Учреждение (3)'!B28,'Учреждение (4)'!B28,'Учреждение (5)'!B28)</f>
        <v>4.5999999999999996</v>
      </c>
      <c r="C28" s="119">
        <f t="shared" si="0"/>
        <v>4.5999999999999996</v>
      </c>
      <c r="D28" s="107">
        <f>B28/('Нормы по школам'!C29/100*25)*100</f>
        <v>122.66666666666666</v>
      </c>
      <c r="E28" s="132">
        <f>C28*'Нормы по школам'!D29/'Нормы по школам'!C29</f>
        <v>0</v>
      </c>
      <c r="F28" s="132">
        <f>C28*'Нормы по школам'!E29/'Нормы по школам'!C29</f>
        <v>4.5953999999999997</v>
      </c>
      <c r="G28" s="132">
        <f>C28*'Нормы по школам'!F29/'Нормы по школам'!C29</f>
        <v>0</v>
      </c>
      <c r="H28" s="133">
        <f>C28*'Нормы по школам'!G29/'Нормы по школам'!C29</f>
        <v>41.353999999999999</v>
      </c>
      <c r="I28" s="127">
        <f>AVERAGE('Учреждение (1)'!I28,'Учреждение (2)'!I28,'Учреждение (3)'!I28,'Учреждение (4)'!I28,'Учреждение (5)'!I28)</f>
        <v>4.4000000000000004</v>
      </c>
      <c r="J28" s="109">
        <f t="shared" si="1"/>
        <v>4.4000000000000004</v>
      </c>
      <c r="K28" s="107">
        <f>J28/('Нормы по школам'!C29/100*25)*100</f>
        <v>117.33333333333333</v>
      </c>
      <c r="L28" s="160">
        <f>J28*'Нормы по школам'!J29/'Нормы по школам'!I29</f>
        <v>0</v>
      </c>
      <c r="M28" s="160">
        <f>J28*'Нормы по школам'!K29/'Нормы по школам'!I29</f>
        <v>4.3956</v>
      </c>
      <c r="N28" s="160">
        <f>J28*'Нормы по школам'!L29/'Нормы по школам'!I29</f>
        <v>0</v>
      </c>
      <c r="O28" s="161">
        <f>J28*'Нормы по школам'!M29/'Нормы по школам'!I29</f>
        <v>39.556000000000004</v>
      </c>
      <c r="P28" s="127" t="e">
        <f>AVERAGE('Учреждение (1)'!P28,'Учреждение (2)'!P28,'Учреждение (3)'!P28,'Учреждение (4)'!P28,'Учреждение (5)'!P28)</f>
        <v>#DIV/0!</v>
      </c>
      <c r="Q28" s="109" t="e">
        <f>P28</f>
        <v>#DIV/0!</v>
      </c>
      <c r="R28" s="131" t="e">
        <f>Q28*100/'Нормы по школам'!C29</f>
        <v>#DIV/0!</v>
      </c>
      <c r="S28" s="132" t="e">
        <f>Q28*'Нормы по школам'!D29/'Нормы по школам'!C29</f>
        <v>#DIV/0!</v>
      </c>
      <c r="T28" s="132" t="e">
        <f>Q28*'Нормы по школам'!E29/'Нормы по школам'!C29</f>
        <v>#DIV/0!</v>
      </c>
      <c r="U28" s="132" t="e">
        <f>Q28*'Нормы по школам'!F29/'Нормы по школам'!C29</f>
        <v>#DIV/0!</v>
      </c>
      <c r="V28" s="134" t="e">
        <f>Q28*'Нормы по школам'!G29/'Нормы по школам'!C29</f>
        <v>#DIV/0!</v>
      </c>
      <c r="W28" s="127" t="e">
        <f>AVERAGE('Учреждение (1)'!W28,'Учреждение (2)'!W28,'Учреждение (3)'!W28,'Учреждение (4)'!W28,'Учреждение (5)'!W28)</f>
        <v>#DIV/0!</v>
      </c>
      <c r="X28" s="119" t="e">
        <f t="shared" si="2"/>
        <v>#DIV/0!</v>
      </c>
      <c r="Y28" s="107" t="e">
        <f>X28/('Нормы по школам'!C29/100*35)*100</f>
        <v>#DIV/0!</v>
      </c>
      <c r="Z28" s="160" t="e">
        <f>X28*'Нормы по школам'!J29/'Нормы по школам'!I29</f>
        <v>#DIV/0!</v>
      </c>
      <c r="AA28" s="160" t="e">
        <f>X28*'Нормы по школам'!K29/'Нормы по школам'!I29</f>
        <v>#DIV/0!</v>
      </c>
      <c r="AB28" s="160" t="e">
        <f>X28*'Нормы по школам'!L29/'Нормы по школам'!I29</f>
        <v>#DIV/0!</v>
      </c>
      <c r="AC28" s="161" t="e">
        <f>X28*'Нормы по школам'!M29/'Нормы по школам'!I29</f>
        <v>#DIV/0!</v>
      </c>
      <c r="AD28" s="127" t="e">
        <f>AVERAGE('Учреждение (1)'!AD28,'Учреждение (2)'!AD28,'Учреждение (3)'!AD28,'Учреждение (4)'!AD28,'Учреждение (5)'!AD28)</f>
        <v>#DIV/0!</v>
      </c>
      <c r="AE28" s="109" t="e">
        <f>AD28</f>
        <v>#DIV/0!</v>
      </c>
      <c r="AF28" s="107" t="e">
        <f>AE28/('Нормы по школам'!C29/100*60)*100</f>
        <v>#DIV/0!</v>
      </c>
      <c r="AG28" s="132" t="e">
        <f>AE28*'Нормы по школам'!D29/'Нормы по школам'!C29</f>
        <v>#DIV/0!</v>
      </c>
      <c r="AH28" s="132" t="e">
        <f>AE28*'Нормы по школам'!E29/'Нормы по школам'!C29</f>
        <v>#DIV/0!</v>
      </c>
      <c r="AI28" s="132" t="e">
        <f>AE28*'Нормы по школам'!F29/'Нормы по школам'!C29</f>
        <v>#DIV/0!</v>
      </c>
      <c r="AJ28" s="133" t="e">
        <f>AE28*'Нормы по школам'!G29/'Нормы по школам'!C29</f>
        <v>#DIV/0!</v>
      </c>
      <c r="AK28" s="127" t="e">
        <f>AVERAGE('Учреждение (1)'!AK28,'Учреждение (2)'!AK28,'Учреждение (3)'!AK28,'Учреждение (4)'!AK28,'Учреждение (5)'!AK28)</f>
        <v>#DIV/0!</v>
      </c>
      <c r="AL28" s="109" t="e">
        <f t="shared" si="3"/>
        <v>#DIV/0!</v>
      </c>
      <c r="AM28" s="107" t="e">
        <f>AL28/('Нормы по школам'!C29/100*60)*100</f>
        <v>#DIV/0!</v>
      </c>
      <c r="AN28" s="160" t="e">
        <f>AL28*'Нормы по школам'!J29/'Нормы по школам'!I29</f>
        <v>#DIV/0!</v>
      </c>
      <c r="AO28" s="160" t="e">
        <f>AL28*'Нормы по школам'!K29/'Нормы по школам'!I29</f>
        <v>#DIV/0!</v>
      </c>
      <c r="AP28" s="160" t="e">
        <f>AL28*'Нормы по школам'!L29/'Нормы по школам'!I29</f>
        <v>#DIV/0!</v>
      </c>
      <c r="AQ28" s="161" t="e">
        <f>AL28*'Нормы по школам'!M29/'Нормы по школам'!I29</f>
        <v>#DIV/0!</v>
      </c>
    </row>
    <row r="29" spans="1:43" s="27" customFormat="1" ht="15" customHeight="1" thickBot="1">
      <c r="A29" s="140" t="s">
        <v>78</v>
      </c>
      <c r="B29" s="127">
        <f>AVERAGE('Учреждение (1)'!B29,'Учреждение (2)'!B29,'Учреждение (3)'!B29,'Учреждение (4)'!B29,'Учреждение (5)'!B29)</f>
        <v>0.3</v>
      </c>
      <c r="C29" s="119">
        <f>B29*'Нормы по школам'!C30/'Нормы по школам'!B30</f>
        <v>12</v>
      </c>
      <c r="D29" s="107">
        <f>B29/('Нормы по школам'!C30/100*25)*100</f>
        <v>3</v>
      </c>
      <c r="E29" s="132">
        <f>C29*'Нормы по школам'!D30/'Нормы по школам'!C30</f>
        <v>1.524</v>
      </c>
      <c r="F29" s="132">
        <f>C29*'Нормы по школам'!E30/'Нормы по школам'!C30</f>
        <v>1.38</v>
      </c>
      <c r="G29" s="132">
        <f>C29*'Нормы по школам'!F30/'Нормы по школам'!C30</f>
        <v>8.4000000000000005E-2</v>
      </c>
      <c r="H29" s="133">
        <f>C29*'Нормы по школам'!G30/'Нормы по школам'!C30</f>
        <v>18.839999999999996</v>
      </c>
      <c r="I29" s="127">
        <f>AVERAGE('Учреждение (1)'!I29,'Учреждение (2)'!I29,'Учреждение (3)'!I29,'Учреждение (4)'!I29,'Учреждение (5)'!I29)</f>
        <v>0.4</v>
      </c>
      <c r="J29" s="109">
        <f>I29*'Нормы по школам'!I30/'Нормы по школам'!H30</f>
        <v>16</v>
      </c>
      <c r="K29" s="107">
        <f>J29/('Нормы по школам'!C30/100*25)*100</f>
        <v>160</v>
      </c>
      <c r="L29" s="160">
        <f>J29*'Нормы по школам'!J30/'Нормы по школам'!I30</f>
        <v>2.032</v>
      </c>
      <c r="M29" s="160">
        <f>J29*'Нормы по школам'!K30/'Нормы по школам'!I30</f>
        <v>1.8399999999999999</v>
      </c>
      <c r="N29" s="160">
        <f>J29*'Нормы по школам'!L30/'Нормы по школам'!I30</f>
        <v>0.11200000000000002</v>
      </c>
      <c r="O29" s="161">
        <f>J29*'Нормы по школам'!M30/'Нормы по школам'!I30</f>
        <v>25.119999999999997</v>
      </c>
      <c r="P29" s="127" t="e">
        <f>AVERAGE('Учреждение (1)'!P29,'Учреждение (2)'!P29,'Учреждение (3)'!P29,'Учреждение (4)'!P29,'Учреждение (5)'!P29)</f>
        <v>#DIV/0!</v>
      </c>
      <c r="Q29" s="109" t="e">
        <f>P29*'Нормы по школам'!C30/'Нормы по школам'!B30</f>
        <v>#DIV/0!</v>
      </c>
      <c r="R29" s="131" t="e">
        <f>Q29*100/'Нормы по школам'!C30</f>
        <v>#DIV/0!</v>
      </c>
      <c r="S29" s="132" t="e">
        <f>Q29*'Нормы по школам'!D30/'Нормы по школам'!C30</f>
        <v>#DIV/0!</v>
      </c>
      <c r="T29" s="132" t="e">
        <f>Q29*'Нормы по школам'!E30/'Нормы по школам'!C30</f>
        <v>#DIV/0!</v>
      </c>
      <c r="U29" s="132" t="e">
        <f>Q29*'Нормы по школам'!F30/'Нормы по школам'!C30</f>
        <v>#DIV/0!</v>
      </c>
      <c r="V29" s="134" t="e">
        <f>Q29*'Нормы по школам'!G30/'Нормы по школам'!C30</f>
        <v>#DIV/0!</v>
      </c>
      <c r="W29" s="127" t="e">
        <f>AVERAGE('Учреждение (1)'!W29,'Учреждение (2)'!W29,'Учреждение (3)'!W29,'Учреждение (4)'!W29,'Учреждение (5)'!W29)</f>
        <v>#DIV/0!</v>
      </c>
      <c r="X29" s="119" t="e">
        <f>W29*'Нормы по школам'!I30/'Нормы по школам'!H30</f>
        <v>#DIV/0!</v>
      </c>
      <c r="Y29" s="107" t="e">
        <f>X29/('Нормы по школам'!C30/100*35)*100</f>
        <v>#DIV/0!</v>
      </c>
      <c r="Z29" s="160" t="e">
        <f>X29*'Нормы по школам'!J30/'Нормы по школам'!I30</f>
        <v>#DIV/0!</v>
      </c>
      <c r="AA29" s="160" t="e">
        <f>X29*'Нормы по школам'!K30/'Нормы по школам'!I30</f>
        <v>#DIV/0!</v>
      </c>
      <c r="AB29" s="160" t="e">
        <f>X29*'Нормы по школам'!L30/'Нормы по школам'!I30</f>
        <v>#DIV/0!</v>
      </c>
      <c r="AC29" s="161" t="e">
        <f>X29*'Нормы по школам'!M30/'Нормы по школам'!I30</f>
        <v>#DIV/0!</v>
      </c>
      <c r="AD29" s="127" t="e">
        <f>AVERAGE('Учреждение (1)'!AD29,'Учреждение (2)'!AD29,'Учреждение (3)'!AD29,'Учреждение (4)'!AD29,'Учреждение (5)'!AD29)</f>
        <v>#DIV/0!</v>
      </c>
      <c r="AE29" s="109" t="e">
        <f>AD29*'Нормы по школам'!C30/'Нормы по школам'!B30</f>
        <v>#DIV/0!</v>
      </c>
      <c r="AF29" s="107" t="e">
        <f>AE29/('Нормы по школам'!C30/100*60)*100</f>
        <v>#DIV/0!</v>
      </c>
      <c r="AG29" s="132" t="e">
        <f>AE29*'Нормы по школам'!D30/'Нормы по школам'!C30</f>
        <v>#DIV/0!</v>
      </c>
      <c r="AH29" s="132" t="e">
        <f>AE29*'Нормы по школам'!E30/'Нормы по школам'!C30</f>
        <v>#DIV/0!</v>
      </c>
      <c r="AI29" s="132" t="e">
        <f>AE29*'Нормы по школам'!F30/'Нормы по школам'!C30</f>
        <v>#DIV/0!</v>
      </c>
      <c r="AJ29" s="133" t="e">
        <f>AE29*'Нормы по школам'!G30/'Нормы по школам'!C30</f>
        <v>#DIV/0!</v>
      </c>
      <c r="AK29" s="127" t="e">
        <f>AVERAGE('Учреждение (1)'!AK29,'Учреждение (2)'!AK29,'Учреждение (3)'!AK29,'Учреждение (4)'!AK29,'Учреждение (5)'!AK29)</f>
        <v>#DIV/0!</v>
      </c>
      <c r="AL29" s="109" t="e">
        <f>AK29*'Нормы по школам'!I30/'Нормы по школам'!H30</f>
        <v>#DIV/0!</v>
      </c>
      <c r="AM29" s="107" t="e">
        <f>AL29/('Нормы по школам'!C30/100*60)*100</f>
        <v>#DIV/0!</v>
      </c>
      <c r="AN29" s="160" t="e">
        <f>AL29*'Нормы по школам'!J30/'Нормы по школам'!I30</f>
        <v>#DIV/0!</v>
      </c>
      <c r="AO29" s="160" t="e">
        <f>AL29*'Нормы по школам'!K30/'Нормы по школам'!I30</f>
        <v>#DIV/0!</v>
      </c>
      <c r="AP29" s="160" t="e">
        <f>AL29*'Нормы по школам'!L30/'Нормы по школам'!I30</f>
        <v>#DIV/0!</v>
      </c>
      <c r="AQ29" s="161" t="e">
        <f>AL29*'Нормы по школам'!M30/'Нормы по школам'!I30</f>
        <v>#DIV/0!</v>
      </c>
    </row>
    <row r="30" spans="1:43" s="27" customFormat="1" ht="15" customHeight="1" thickBot="1">
      <c r="A30" s="145" t="s">
        <v>37</v>
      </c>
      <c r="B30" s="127">
        <f>AVERAGE('Учреждение (1)'!B30,'Учреждение (2)'!B30,'Учреждение (3)'!B30,'Учреждение (4)'!B30,'Учреждение (5)'!B30)</f>
        <v>18.5</v>
      </c>
      <c r="C30" s="119">
        <f t="shared" si="0"/>
        <v>18.5</v>
      </c>
      <c r="D30" s="107">
        <f>B30/('Нормы по школам'!C31/100*25)*100</f>
        <v>185</v>
      </c>
      <c r="E30" s="132">
        <f>C30*'Нормы по школам'!D31/'Нормы по школам'!C31</f>
        <v>0</v>
      </c>
      <c r="F30" s="132">
        <f>C30*'Нормы по школам'!E31/'Нормы по школам'!C31</f>
        <v>0</v>
      </c>
      <c r="G30" s="132">
        <f>C30*'Нормы по школам'!F31/'Нормы по школам'!C31</f>
        <v>18.463000000000001</v>
      </c>
      <c r="H30" s="133">
        <f>C30*'Нормы по школам'!G31/'Нормы по школам'!C31</f>
        <v>73.814999999999998</v>
      </c>
      <c r="I30" s="127">
        <f>AVERAGE('Учреждение (1)'!I30,'Учреждение (2)'!I30,'Учреждение (3)'!I30,'Учреждение (4)'!I30,'Учреждение (5)'!I30)</f>
        <v>24.5</v>
      </c>
      <c r="J30" s="109">
        <f t="shared" si="1"/>
        <v>24.5</v>
      </c>
      <c r="K30" s="107">
        <f>J30/('Нормы по школам'!C31/100*25)*100</f>
        <v>245.00000000000003</v>
      </c>
      <c r="L30" s="160">
        <f>J30*'Нормы по школам'!J31/'Нормы по школам'!I31</f>
        <v>0</v>
      </c>
      <c r="M30" s="160">
        <f>J30*'Нормы по школам'!K31/'Нормы по школам'!I31</f>
        <v>0</v>
      </c>
      <c r="N30" s="160">
        <f>J30*'Нормы по школам'!L31/'Нормы по школам'!I31</f>
        <v>24.450999999999997</v>
      </c>
      <c r="O30" s="161">
        <f>J30*'Нормы по школам'!M31/'Нормы по школам'!I31</f>
        <v>97.75500000000001</v>
      </c>
      <c r="P30" s="127" t="e">
        <f>AVERAGE('Учреждение (1)'!P30,'Учреждение (2)'!P30,'Учреждение (3)'!P30,'Учреждение (4)'!P30,'Учреждение (5)'!P30)</f>
        <v>#DIV/0!</v>
      </c>
      <c r="Q30" s="109" t="e">
        <f t="shared" ref="Q30:Q35" si="4">P30</f>
        <v>#DIV/0!</v>
      </c>
      <c r="R30" s="131" t="e">
        <f>Q30*100/'Нормы по школам'!C31</f>
        <v>#DIV/0!</v>
      </c>
      <c r="S30" s="132" t="e">
        <f>Q30*'Нормы по школам'!D31/'Нормы по школам'!C31</f>
        <v>#DIV/0!</v>
      </c>
      <c r="T30" s="132" t="e">
        <f>Q30*'Нормы по школам'!E31/'Нормы по школам'!C31</f>
        <v>#DIV/0!</v>
      </c>
      <c r="U30" s="132" t="e">
        <f>Q30*'Нормы по школам'!F31/'Нормы по школам'!C31</f>
        <v>#DIV/0!</v>
      </c>
      <c r="V30" s="134" t="e">
        <f>Q30*'Нормы по школам'!G31/'Нормы по школам'!C31</f>
        <v>#DIV/0!</v>
      </c>
      <c r="W30" s="127" t="e">
        <f>AVERAGE('Учреждение (1)'!W30,'Учреждение (2)'!W30,'Учреждение (3)'!W30,'Учреждение (4)'!W30,'Учреждение (5)'!W30)</f>
        <v>#DIV/0!</v>
      </c>
      <c r="X30" s="119" t="e">
        <f t="shared" si="2"/>
        <v>#DIV/0!</v>
      </c>
      <c r="Y30" s="107" t="e">
        <f>X30/('Нормы по школам'!C31/100*35)*100</f>
        <v>#DIV/0!</v>
      </c>
      <c r="Z30" s="160" t="e">
        <f>X30*'Нормы по школам'!J31/'Нормы по школам'!I31</f>
        <v>#DIV/0!</v>
      </c>
      <c r="AA30" s="160" t="e">
        <f>X30*'Нормы по школам'!K31/'Нормы по школам'!I31</f>
        <v>#DIV/0!</v>
      </c>
      <c r="AB30" s="160" t="e">
        <f>X30*'Нормы по школам'!L31/'Нормы по школам'!I31</f>
        <v>#DIV/0!</v>
      </c>
      <c r="AC30" s="161" t="e">
        <f>X30*'Нормы по школам'!M31/'Нормы по школам'!I31</f>
        <v>#DIV/0!</v>
      </c>
      <c r="AD30" s="127" t="e">
        <f>AVERAGE('Учреждение (1)'!AD30,'Учреждение (2)'!AD30,'Учреждение (3)'!AD30,'Учреждение (4)'!AD30,'Учреждение (5)'!AD30)</f>
        <v>#DIV/0!</v>
      </c>
      <c r="AE30" s="109" t="e">
        <f t="shared" ref="AE30:AE35" si="5">AD30</f>
        <v>#DIV/0!</v>
      </c>
      <c r="AF30" s="107" t="e">
        <f>AE30/('Нормы по школам'!C31/100*60)*100</f>
        <v>#DIV/0!</v>
      </c>
      <c r="AG30" s="132" t="e">
        <f>AE30*'Нормы по школам'!D31/'Нормы по школам'!C31</f>
        <v>#DIV/0!</v>
      </c>
      <c r="AH30" s="132" t="e">
        <f>AE30*'Нормы по школам'!E31/'Нормы по школам'!C31</f>
        <v>#DIV/0!</v>
      </c>
      <c r="AI30" s="132" t="e">
        <f>AE30*'Нормы по школам'!F31/'Нормы по школам'!C31</f>
        <v>#DIV/0!</v>
      </c>
      <c r="AJ30" s="133" t="e">
        <f>AE30*'Нормы по школам'!G31/'Нормы по школам'!C31</f>
        <v>#DIV/0!</v>
      </c>
      <c r="AK30" s="127" t="e">
        <f>AVERAGE('Учреждение (1)'!AK30,'Учреждение (2)'!AK30,'Учреждение (3)'!AK30,'Учреждение (4)'!AK30,'Учреждение (5)'!AK30)</f>
        <v>#DIV/0!</v>
      </c>
      <c r="AL30" s="109" t="e">
        <f t="shared" si="3"/>
        <v>#DIV/0!</v>
      </c>
      <c r="AM30" s="107" t="e">
        <f>AL30/('Нормы по школам'!C31/100*60)*100</f>
        <v>#DIV/0!</v>
      </c>
      <c r="AN30" s="160" t="e">
        <f>AL30*'Нормы по школам'!J31/'Нормы по школам'!I31</f>
        <v>#DIV/0!</v>
      </c>
      <c r="AO30" s="160" t="e">
        <f>AL30*'Нормы по школам'!K31/'Нормы по школам'!I31</f>
        <v>#DIV/0!</v>
      </c>
      <c r="AP30" s="160" t="e">
        <f>AL30*'Нормы по школам'!L31/'Нормы по школам'!I31</f>
        <v>#DIV/0!</v>
      </c>
      <c r="AQ30" s="161" t="e">
        <f>AL30*'Нормы по школам'!M31/'Нормы по школам'!I31</f>
        <v>#DIV/0!</v>
      </c>
    </row>
    <row r="31" spans="1:43" s="27" customFormat="1" ht="15" customHeight="1" thickBot="1">
      <c r="A31" s="140" t="s">
        <v>38</v>
      </c>
      <c r="B31" s="127" t="e">
        <f>AVERAGE('Учреждение (1)'!B31,'Учреждение (2)'!B31,'Учреждение (3)'!B31,'Учреждение (4)'!B31,'Учреждение (5)'!B31)</f>
        <v>#DIV/0!</v>
      </c>
      <c r="C31" s="119" t="e">
        <f t="shared" si="0"/>
        <v>#DIV/0!</v>
      </c>
      <c r="D31" s="107" t="e">
        <f>B31/('Нормы по школам'!C32/100*25)*100</f>
        <v>#DIV/0!</v>
      </c>
      <c r="E31" s="132" t="e">
        <f>C31*'Нормы по школам'!D32/'Нормы по школам'!C32</f>
        <v>#DIV/0!</v>
      </c>
      <c r="F31" s="132" t="e">
        <f>C31*'Нормы по школам'!E32/'Нормы по школам'!C32</f>
        <v>#DIV/0!</v>
      </c>
      <c r="G31" s="132" t="e">
        <f>C31*'Нормы по школам'!F32/'Нормы по школам'!C32</f>
        <v>#DIV/0!</v>
      </c>
      <c r="H31" s="133" t="e">
        <f>C31*'Нормы по школам'!G32/'Нормы по школам'!C32</f>
        <v>#DIV/0!</v>
      </c>
      <c r="I31" s="127" t="e">
        <f>AVERAGE('Учреждение (1)'!I31,'Учреждение (2)'!I31,'Учреждение (3)'!I31,'Учреждение (4)'!I31,'Учреждение (5)'!I31)</f>
        <v>#DIV/0!</v>
      </c>
      <c r="J31" s="109" t="e">
        <f t="shared" si="1"/>
        <v>#DIV/0!</v>
      </c>
      <c r="K31" s="107" t="e">
        <f>J31/('Нормы по школам'!C32/100*25)*100</f>
        <v>#DIV/0!</v>
      </c>
      <c r="L31" s="160" t="e">
        <f>J31*'Нормы по школам'!J32/'Нормы по школам'!I32</f>
        <v>#DIV/0!</v>
      </c>
      <c r="M31" s="160" t="e">
        <f>J31*'Нормы по школам'!K32/'Нормы по школам'!I32</f>
        <v>#DIV/0!</v>
      </c>
      <c r="N31" s="160" t="e">
        <f>J31*'Нормы по школам'!L32/'Нормы по школам'!I32</f>
        <v>#DIV/0!</v>
      </c>
      <c r="O31" s="161" t="e">
        <f>J31*'Нормы по школам'!M32/'Нормы по школам'!I32</f>
        <v>#DIV/0!</v>
      </c>
      <c r="P31" s="127" t="e">
        <f>AVERAGE('Учреждение (1)'!P31,'Учреждение (2)'!P31,'Учреждение (3)'!P31,'Учреждение (4)'!P31,'Учреждение (5)'!P31)</f>
        <v>#DIV/0!</v>
      </c>
      <c r="Q31" s="109" t="e">
        <f t="shared" si="4"/>
        <v>#DIV/0!</v>
      </c>
      <c r="R31" s="131" t="e">
        <f>Q31*100/'Нормы по школам'!C32</f>
        <v>#DIV/0!</v>
      </c>
      <c r="S31" s="132" t="e">
        <f>Q31*'Нормы по школам'!D32/'Нормы по школам'!C32</f>
        <v>#DIV/0!</v>
      </c>
      <c r="T31" s="132" t="e">
        <f>Q31*'Нормы по школам'!E32/'Нормы по школам'!C32</f>
        <v>#DIV/0!</v>
      </c>
      <c r="U31" s="132" t="e">
        <f>Q31*'Нормы по школам'!F32/'Нормы по школам'!C32</f>
        <v>#DIV/0!</v>
      </c>
      <c r="V31" s="134" t="e">
        <f>Q31*'Нормы по школам'!G32/'Нормы по школам'!C32</f>
        <v>#DIV/0!</v>
      </c>
      <c r="W31" s="127" t="e">
        <f>AVERAGE('Учреждение (1)'!W31,'Учреждение (2)'!W31,'Учреждение (3)'!W31,'Учреждение (4)'!W31,'Учреждение (5)'!W31)</f>
        <v>#DIV/0!</v>
      </c>
      <c r="X31" s="119" t="e">
        <f t="shared" si="2"/>
        <v>#DIV/0!</v>
      </c>
      <c r="Y31" s="107" t="e">
        <f>X31/('Нормы по школам'!C32/100*35)*100</f>
        <v>#DIV/0!</v>
      </c>
      <c r="Z31" s="160" t="e">
        <f>X31*'Нормы по школам'!J32/'Нормы по школам'!I32</f>
        <v>#DIV/0!</v>
      </c>
      <c r="AA31" s="160" t="e">
        <f>X31*'Нормы по школам'!K32/'Нормы по школам'!I32</f>
        <v>#DIV/0!</v>
      </c>
      <c r="AB31" s="160" t="e">
        <f>X31*'Нормы по школам'!L32/'Нормы по школам'!I32</f>
        <v>#DIV/0!</v>
      </c>
      <c r="AC31" s="161" t="e">
        <f>X31*'Нормы по школам'!M32/'Нормы по школам'!I32</f>
        <v>#DIV/0!</v>
      </c>
      <c r="AD31" s="127" t="e">
        <f>AVERAGE('Учреждение (1)'!AD31,'Учреждение (2)'!AD31,'Учреждение (3)'!AD31,'Учреждение (4)'!AD31,'Учреждение (5)'!AD31)</f>
        <v>#DIV/0!</v>
      </c>
      <c r="AE31" s="109" t="e">
        <f t="shared" si="5"/>
        <v>#DIV/0!</v>
      </c>
      <c r="AF31" s="107" t="e">
        <f>AE31/('Нормы по школам'!C32/100*60)*100</f>
        <v>#DIV/0!</v>
      </c>
      <c r="AG31" s="132" t="e">
        <f>AE31*'Нормы по школам'!D32/'Нормы по школам'!C32</f>
        <v>#DIV/0!</v>
      </c>
      <c r="AH31" s="132" t="e">
        <f>AE31*'Нормы по школам'!E32/'Нормы по школам'!C32</f>
        <v>#DIV/0!</v>
      </c>
      <c r="AI31" s="132" t="e">
        <f>AE31*'Нормы по школам'!F32/'Нормы по школам'!C32</f>
        <v>#DIV/0!</v>
      </c>
      <c r="AJ31" s="133" t="e">
        <f>AE31*'Нормы по школам'!G32/'Нормы по школам'!C32</f>
        <v>#DIV/0!</v>
      </c>
      <c r="AK31" s="127" t="e">
        <f>AVERAGE('Учреждение (1)'!AK31,'Учреждение (2)'!AK31,'Учреждение (3)'!AK31,'Учреждение (4)'!AK31,'Учреждение (5)'!AK31)</f>
        <v>#DIV/0!</v>
      </c>
      <c r="AL31" s="109" t="e">
        <f t="shared" si="3"/>
        <v>#DIV/0!</v>
      </c>
      <c r="AM31" s="107" t="e">
        <f>AL31/('Нормы по школам'!C32/100*60)*100</f>
        <v>#DIV/0!</v>
      </c>
      <c r="AN31" s="160" t="e">
        <f>AL31*'Нормы по школам'!J32/'Нормы по школам'!I32</f>
        <v>#DIV/0!</v>
      </c>
      <c r="AO31" s="160" t="e">
        <f>AL31*'Нормы по школам'!K32/'Нормы по школам'!I32</f>
        <v>#DIV/0!</v>
      </c>
      <c r="AP31" s="160" t="e">
        <f>AL31*'Нормы по школам'!L32/'Нормы по школам'!I32</f>
        <v>#DIV/0!</v>
      </c>
      <c r="AQ31" s="161" t="e">
        <f>AL31*'Нормы по школам'!M32/'Нормы по школам'!I32</f>
        <v>#DIV/0!</v>
      </c>
    </row>
    <row r="32" spans="1:43" s="27" customFormat="1" ht="15" customHeight="1" thickBot="1">
      <c r="A32" s="140" t="s">
        <v>39</v>
      </c>
      <c r="B32" s="127">
        <f>AVERAGE('Учреждение (1)'!B32,'Учреждение (2)'!B32,'Учреждение (3)'!B32,'Учреждение (4)'!B32,'Учреждение (5)'!B32)</f>
        <v>0.4</v>
      </c>
      <c r="C32" s="119">
        <f t="shared" si="0"/>
        <v>0.4</v>
      </c>
      <c r="D32" s="107">
        <f>B32/('Нормы по школам'!C33/100*25)*100</f>
        <v>400</v>
      </c>
      <c r="E32" s="132">
        <f>C32*'Нормы по школам'!D33/'Нормы по школам'!C33</f>
        <v>4.0000000000000007E-4</v>
      </c>
      <c r="F32" s="132">
        <f>C32*'Нормы по школам'!E33/'Нормы по школам'!C33</f>
        <v>0</v>
      </c>
      <c r="G32" s="132">
        <f>C32*'Нормы по школам'!F33/'Нормы по школам'!C33</f>
        <v>0</v>
      </c>
      <c r="H32" s="133">
        <f>C32*'Нормы по школам'!G33/'Нормы по школам'!C33</f>
        <v>0</v>
      </c>
      <c r="I32" s="127">
        <f>AVERAGE('Учреждение (1)'!I32,'Учреждение (2)'!I32,'Учреждение (3)'!I32,'Учреждение (4)'!I32,'Учреждение (5)'!I32)</f>
        <v>0.6</v>
      </c>
      <c r="J32" s="109">
        <f t="shared" si="1"/>
        <v>0.6</v>
      </c>
      <c r="K32" s="107">
        <f>J32/('Нормы по школам'!C33/100*25)*100</f>
        <v>599.99999999999989</v>
      </c>
      <c r="L32" s="160">
        <f>J32*'Нормы по школам'!J33/'Нормы по школам'!I33</f>
        <v>6.0000000000000006E-4</v>
      </c>
      <c r="M32" s="160">
        <f>J32*'Нормы по школам'!K33/'Нормы по школам'!I33</f>
        <v>0</v>
      </c>
      <c r="N32" s="160">
        <f>J32*'Нормы по школам'!L33/'Нормы по школам'!I33</f>
        <v>0</v>
      </c>
      <c r="O32" s="161">
        <f>J32*'Нормы по школам'!M33/'Нормы по школам'!I33</f>
        <v>0</v>
      </c>
      <c r="P32" s="127" t="e">
        <f>AVERAGE('Учреждение (1)'!P32,'Учреждение (2)'!P32,'Учреждение (3)'!P32,'Учреждение (4)'!P32,'Учреждение (5)'!P32)</f>
        <v>#DIV/0!</v>
      </c>
      <c r="Q32" s="109" t="e">
        <f t="shared" si="4"/>
        <v>#DIV/0!</v>
      </c>
      <c r="R32" s="131" t="e">
        <f>Q32*100/'Нормы по школам'!C33</f>
        <v>#DIV/0!</v>
      </c>
      <c r="S32" s="132" t="e">
        <f>Q32*'Нормы по школам'!D33/'Нормы по школам'!C33</f>
        <v>#DIV/0!</v>
      </c>
      <c r="T32" s="132" t="e">
        <f>Q32*'Нормы по школам'!E33/'Нормы по школам'!C33</f>
        <v>#DIV/0!</v>
      </c>
      <c r="U32" s="132" t="e">
        <f>Q32*'Нормы по школам'!F33/'Нормы по школам'!C33</f>
        <v>#DIV/0!</v>
      </c>
      <c r="V32" s="134" t="e">
        <f>Q32*'Нормы по школам'!G33/'Нормы по школам'!C33</f>
        <v>#DIV/0!</v>
      </c>
      <c r="W32" s="127" t="e">
        <f>AVERAGE('Учреждение (1)'!W32,'Учреждение (2)'!W32,'Учреждение (3)'!W32,'Учреждение (4)'!W32,'Учреждение (5)'!W32)</f>
        <v>#DIV/0!</v>
      </c>
      <c r="X32" s="119" t="e">
        <f t="shared" si="2"/>
        <v>#DIV/0!</v>
      </c>
      <c r="Y32" s="107" t="e">
        <f>X32/('Нормы по школам'!C33/100*35)*100</f>
        <v>#DIV/0!</v>
      </c>
      <c r="Z32" s="160" t="e">
        <f>X32*'Нормы по школам'!J33/'Нормы по школам'!I33</f>
        <v>#DIV/0!</v>
      </c>
      <c r="AA32" s="160" t="e">
        <f>X32*'Нормы по школам'!K33/'Нормы по школам'!I33</f>
        <v>#DIV/0!</v>
      </c>
      <c r="AB32" s="160" t="e">
        <f>X32*'Нормы по школам'!L33/'Нормы по школам'!I33</f>
        <v>#DIV/0!</v>
      </c>
      <c r="AC32" s="161" t="e">
        <f>X32*'Нормы по школам'!M33/'Нормы по школам'!I33</f>
        <v>#DIV/0!</v>
      </c>
      <c r="AD32" s="127" t="e">
        <f>AVERAGE('Учреждение (1)'!AD32,'Учреждение (2)'!AD32,'Учреждение (3)'!AD32,'Учреждение (4)'!AD32,'Учреждение (5)'!AD32)</f>
        <v>#DIV/0!</v>
      </c>
      <c r="AE32" s="109" t="e">
        <f t="shared" si="5"/>
        <v>#DIV/0!</v>
      </c>
      <c r="AF32" s="107" t="e">
        <f>AE32/('Нормы по школам'!C33/100*60)*100</f>
        <v>#DIV/0!</v>
      </c>
      <c r="AG32" s="132" t="e">
        <f>AE32*'Нормы по школам'!D33/'Нормы по школам'!C33</f>
        <v>#DIV/0!</v>
      </c>
      <c r="AH32" s="132" t="e">
        <f>AE32*'Нормы по школам'!E33/'Нормы по школам'!C33</f>
        <v>#DIV/0!</v>
      </c>
      <c r="AI32" s="132" t="e">
        <f>AE32*'Нормы по школам'!F33/'Нормы по школам'!C33</f>
        <v>#DIV/0!</v>
      </c>
      <c r="AJ32" s="133" t="e">
        <f>AE32*'Нормы по школам'!G33/'Нормы по школам'!C33</f>
        <v>#DIV/0!</v>
      </c>
      <c r="AK32" s="127" t="e">
        <f>AVERAGE('Учреждение (1)'!AK32,'Учреждение (2)'!AK32,'Учреждение (3)'!AK32,'Учреждение (4)'!AK32,'Учреждение (5)'!AK32)</f>
        <v>#DIV/0!</v>
      </c>
      <c r="AL32" s="109" t="e">
        <f t="shared" si="3"/>
        <v>#DIV/0!</v>
      </c>
      <c r="AM32" s="107" t="e">
        <f>AL32/('Нормы по школам'!C33/100*60)*100</f>
        <v>#DIV/0!</v>
      </c>
      <c r="AN32" s="160" t="e">
        <f>AL32*'Нормы по школам'!J33/'Нормы по школам'!I33</f>
        <v>#DIV/0!</v>
      </c>
      <c r="AO32" s="160" t="e">
        <f>AL32*'Нормы по школам'!K33/'Нормы по школам'!I33</f>
        <v>#DIV/0!</v>
      </c>
      <c r="AP32" s="160" t="e">
        <f>AL32*'Нормы по школам'!L33/'Нормы по школам'!I33</f>
        <v>#DIV/0!</v>
      </c>
      <c r="AQ32" s="161" t="e">
        <f>AL32*'Нормы по школам'!M33/'Нормы по школам'!I33</f>
        <v>#DIV/0!</v>
      </c>
    </row>
    <row r="33" spans="1:43" s="27" customFormat="1" ht="15" customHeight="1" thickBot="1">
      <c r="A33" s="140" t="s">
        <v>40</v>
      </c>
      <c r="B33" s="127" t="e">
        <f>AVERAGE('Учреждение (1)'!B33,'Учреждение (2)'!B33,'Учреждение (3)'!B33,'Учреждение (4)'!B33,'Учреждение (5)'!B33)</f>
        <v>#DIV/0!</v>
      </c>
      <c r="C33" s="119" t="e">
        <f t="shared" si="0"/>
        <v>#DIV/0!</v>
      </c>
      <c r="D33" s="107" t="e">
        <f>B33/('Нормы по школам'!C34/100*25)*100</f>
        <v>#DIV/0!</v>
      </c>
      <c r="E33" s="132" t="e">
        <f>C33*'Нормы по школам'!D34/'Нормы по школам'!C34</f>
        <v>#DIV/0!</v>
      </c>
      <c r="F33" s="132" t="e">
        <f>C33*'Нормы по школам'!E34/'Нормы по школам'!C34</f>
        <v>#DIV/0!</v>
      </c>
      <c r="G33" s="132" t="e">
        <f>C33*'Нормы по школам'!F34/'Нормы по школам'!C34</f>
        <v>#DIV/0!</v>
      </c>
      <c r="H33" s="133" t="e">
        <f>C33*'Нормы по школам'!G34/'Нормы по школам'!C34</f>
        <v>#DIV/0!</v>
      </c>
      <c r="I33" s="127" t="e">
        <f>AVERAGE('Учреждение (1)'!I33,'Учреждение (2)'!I33,'Учреждение (3)'!I33,'Учреждение (4)'!I33,'Учреждение (5)'!I33)</f>
        <v>#DIV/0!</v>
      </c>
      <c r="J33" s="109" t="e">
        <f t="shared" si="1"/>
        <v>#DIV/0!</v>
      </c>
      <c r="K33" s="107" t="e">
        <f>J33/('Нормы по школам'!C34/100*25)*100</f>
        <v>#DIV/0!</v>
      </c>
      <c r="L33" s="160" t="e">
        <f>J33*'Нормы по школам'!J34/'Нормы по школам'!I34</f>
        <v>#DIV/0!</v>
      </c>
      <c r="M33" s="160" t="e">
        <f>J33*'Нормы по школам'!K34/'Нормы по школам'!I34</f>
        <v>#DIV/0!</v>
      </c>
      <c r="N33" s="160" t="e">
        <f>J33*'Нормы по школам'!L34/'Нормы по школам'!I34</f>
        <v>#DIV/0!</v>
      </c>
      <c r="O33" s="161" t="e">
        <f>J33*'Нормы по школам'!M34/'Нормы по школам'!I34</f>
        <v>#DIV/0!</v>
      </c>
      <c r="P33" s="127" t="e">
        <f>AVERAGE('Учреждение (1)'!P33,'Учреждение (2)'!P33,'Учреждение (3)'!P33,'Учреждение (4)'!P33,'Учреждение (5)'!P33)</f>
        <v>#DIV/0!</v>
      </c>
      <c r="Q33" s="109" t="e">
        <f t="shared" si="4"/>
        <v>#DIV/0!</v>
      </c>
      <c r="R33" s="131" t="e">
        <f>Q33*100/'Нормы по школам'!C34</f>
        <v>#DIV/0!</v>
      </c>
      <c r="S33" s="132" t="e">
        <f>Q33*'Нормы по школам'!D34/'Нормы по школам'!C34</f>
        <v>#DIV/0!</v>
      </c>
      <c r="T33" s="132" t="e">
        <f>Q33*'Нормы по школам'!E34/'Нормы по школам'!C34</f>
        <v>#DIV/0!</v>
      </c>
      <c r="U33" s="132" t="e">
        <f>Q33*'Нормы по школам'!F34/'Нормы по школам'!C34</f>
        <v>#DIV/0!</v>
      </c>
      <c r="V33" s="134" t="e">
        <f>Q33*'Нормы по школам'!G34/'Нормы по школам'!C34</f>
        <v>#DIV/0!</v>
      </c>
      <c r="W33" s="127" t="e">
        <f>AVERAGE('Учреждение (1)'!W33,'Учреждение (2)'!W33,'Учреждение (3)'!W33,'Учреждение (4)'!W33,'Учреждение (5)'!W33)</f>
        <v>#DIV/0!</v>
      </c>
      <c r="X33" s="119" t="e">
        <f t="shared" si="2"/>
        <v>#DIV/0!</v>
      </c>
      <c r="Y33" s="107" t="e">
        <f>X33/('Нормы по школам'!C34/100*35)*100</f>
        <v>#DIV/0!</v>
      </c>
      <c r="Z33" s="160" t="e">
        <f>X33*'Нормы по школам'!J34/'Нормы по школам'!I34</f>
        <v>#DIV/0!</v>
      </c>
      <c r="AA33" s="160" t="e">
        <f>X33*'Нормы по школам'!K34/'Нормы по школам'!I34</f>
        <v>#DIV/0!</v>
      </c>
      <c r="AB33" s="160" t="e">
        <f>X33*'Нормы по школам'!L34/'Нормы по школам'!I34</f>
        <v>#DIV/0!</v>
      </c>
      <c r="AC33" s="161" t="e">
        <f>X33*'Нормы по школам'!M34/'Нормы по школам'!I34</f>
        <v>#DIV/0!</v>
      </c>
      <c r="AD33" s="127" t="e">
        <f>AVERAGE('Учреждение (1)'!AD33,'Учреждение (2)'!AD33,'Учреждение (3)'!AD33,'Учреждение (4)'!AD33,'Учреждение (5)'!AD33)</f>
        <v>#DIV/0!</v>
      </c>
      <c r="AE33" s="109" t="e">
        <f t="shared" si="5"/>
        <v>#DIV/0!</v>
      </c>
      <c r="AF33" s="107" t="e">
        <f>AE33/('Нормы по школам'!C34/100*60)*100</f>
        <v>#DIV/0!</v>
      </c>
      <c r="AG33" s="132" t="e">
        <f>AE33*'Нормы по школам'!D34/'Нормы по школам'!C34</f>
        <v>#DIV/0!</v>
      </c>
      <c r="AH33" s="132" t="e">
        <f>AE33*'Нормы по школам'!E34/'Нормы по школам'!C34</f>
        <v>#DIV/0!</v>
      </c>
      <c r="AI33" s="132" t="e">
        <f>AE33*'Нормы по школам'!F34/'Нормы по школам'!C34</f>
        <v>#DIV/0!</v>
      </c>
      <c r="AJ33" s="133" t="e">
        <f>AE33*'Нормы по школам'!G34/'Нормы по школам'!C34</f>
        <v>#DIV/0!</v>
      </c>
      <c r="AK33" s="127" t="e">
        <f>AVERAGE('Учреждение (1)'!AK33,'Учреждение (2)'!AK33,'Учреждение (3)'!AK33,'Учреждение (4)'!AK33,'Учреждение (5)'!AK33)</f>
        <v>#DIV/0!</v>
      </c>
      <c r="AL33" s="109" t="e">
        <f t="shared" si="3"/>
        <v>#DIV/0!</v>
      </c>
      <c r="AM33" s="107" t="e">
        <f>AL33/('Нормы по школам'!C34/100*60)*100</f>
        <v>#DIV/0!</v>
      </c>
      <c r="AN33" s="160" t="e">
        <f>AL33*'Нормы по школам'!J34/'Нормы по школам'!I34</f>
        <v>#DIV/0!</v>
      </c>
      <c r="AO33" s="160" t="e">
        <f>AL33*'Нормы по школам'!K34/'Нормы по школам'!I34</f>
        <v>#DIV/0!</v>
      </c>
      <c r="AP33" s="160" t="e">
        <f>AL33*'Нормы по школам'!L34/'Нормы по школам'!I34</f>
        <v>#DIV/0!</v>
      </c>
      <c r="AQ33" s="161" t="e">
        <f>AL33*'Нормы по школам'!M34/'Нормы по школам'!I34</f>
        <v>#DIV/0!</v>
      </c>
    </row>
    <row r="34" spans="1:43" s="27" customFormat="1" ht="15" customHeight="1" thickBot="1">
      <c r="A34" s="140" t="s">
        <v>79</v>
      </c>
      <c r="B34" s="127" t="e">
        <f>AVERAGE('Учреждение (1)'!B34,'Учреждение (2)'!B34,'Учреждение (3)'!B34,'Учреждение (4)'!B34,'Учреждение (5)'!B34)</f>
        <v>#DIV/0!</v>
      </c>
      <c r="C34" s="119" t="e">
        <f t="shared" si="0"/>
        <v>#DIV/0!</v>
      </c>
      <c r="D34" s="107" t="e">
        <f>B34/('Нормы по школам'!C35/100*25)*100</f>
        <v>#DIV/0!</v>
      </c>
      <c r="E34" s="132" t="e">
        <f>C34*'Нормы по школам'!D35/'Нормы по школам'!C35</f>
        <v>#DIV/0!</v>
      </c>
      <c r="F34" s="132" t="e">
        <f>C34*'Нормы по школам'!E35/'Нормы по школам'!C35</f>
        <v>#DIV/0!</v>
      </c>
      <c r="G34" s="132" t="e">
        <f>C34*'Нормы по школам'!F35/'Нормы по школам'!C35</f>
        <v>#DIV/0!</v>
      </c>
      <c r="H34" s="133" t="e">
        <f>C34*'Нормы по школам'!G35/'Нормы по школам'!C35</f>
        <v>#DIV/0!</v>
      </c>
      <c r="I34" s="127" t="e">
        <f>AVERAGE('Учреждение (1)'!I34,'Учреждение (2)'!I34,'Учреждение (3)'!I34,'Учреждение (4)'!I34,'Учреждение (5)'!I34)</f>
        <v>#DIV/0!</v>
      </c>
      <c r="J34" s="109" t="e">
        <f t="shared" si="1"/>
        <v>#DIV/0!</v>
      </c>
      <c r="K34" s="107" t="e">
        <f>J34/('Нормы по школам'!C35/100*25)*100</f>
        <v>#DIV/0!</v>
      </c>
      <c r="L34" s="160" t="e">
        <f>J34*'Нормы по школам'!J35/'Нормы по школам'!I35</f>
        <v>#DIV/0!</v>
      </c>
      <c r="M34" s="160" t="e">
        <f>J34*'Нормы по школам'!K35/'Нормы по школам'!I35</f>
        <v>#DIV/0!</v>
      </c>
      <c r="N34" s="160" t="e">
        <f>J34*'Нормы по школам'!L35/'Нормы по школам'!I35</f>
        <v>#DIV/0!</v>
      </c>
      <c r="O34" s="161" t="e">
        <f>J34*'Нормы по школам'!M35/'Нормы по школам'!I35</f>
        <v>#DIV/0!</v>
      </c>
      <c r="P34" s="127" t="e">
        <f>AVERAGE('Учреждение (1)'!P34,'Учреждение (2)'!P34,'Учреждение (3)'!P34,'Учреждение (4)'!P34,'Учреждение (5)'!P34)</f>
        <v>#DIV/0!</v>
      </c>
      <c r="Q34" s="109" t="e">
        <f t="shared" si="4"/>
        <v>#DIV/0!</v>
      </c>
      <c r="R34" s="131" t="e">
        <f>Q34*100/'Нормы по школам'!C35</f>
        <v>#DIV/0!</v>
      </c>
      <c r="S34" s="132" t="e">
        <f>Q34*'Нормы по школам'!D35/'Нормы по школам'!C35</f>
        <v>#DIV/0!</v>
      </c>
      <c r="T34" s="132" t="e">
        <f>Q34*'Нормы по школам'!E35/'Нормы по школам'!C35</f>
        <v>#DIV/0!</v>
      </c>
      <c r="U34" s="132" t="e">
        <f>Q34*'Нормы по школам'!F35/'Нормы по школам'!C35</f>
        <v>#DIV/0!</v>
      </c>
      <c r="V34" s="134" t="e">
        <f>Q34*'Нормы по школам'!G35/'Нормы по школам'!C35</f>
        <v>#DIV/0!</v>
      </c>
      <c r="W34" s="127" t="e">
        <f>AVERAGE('Учреждение (1)'!W34,'Учреждение (2)'!W34,'Учреждение (3)'!W34,'Учреждение (4)'!W34,'Учреждение (5)'!W34)</f>
        <v>#DIV/0!</v>
      </c>
      <c r="X34" s="119" t="e">
        <f t="shared" si="2"/>
        <v>#DIV/0!</v>
      </c>
      <c r="Y34" s="107" t="e">
        <f>X34/('Нормы по школам'!C35/100*35)*100</f>
        <v>#DIV/0!</v>
      </c>
      <c r="Z34" s="160" t="e">
        <f>X34*'Нормы по школам'!J35/'Нормы по школам'!I35</f>
        <v>#DIV/0!</v>
      </c>
      <c r="AA34" s="160" t="e">
        <f>X34*'Нормы по школам'!K35/'Нормы по школам'!I35</f>
        <v>#DIV/0!</v>
      </c>
      <c r="AB34" s="160" t="e">
        <f>X34*'Нормы по школам'!L35/'Нормы по школам'!I35</f>
        <v>#DIV/0!</v>
      </c>
      <c r="AC34" s="161" t="e">
        <f>X34*'Нормы по школам'!M35/'Нормы по школам'!I35</f>
        <v>#DIV/0!</v>
      </c>
      <c r="AD34" s="127" t="e">
        <f>AVERAGE('Учреждение (1)'!AD34,'Учреждение (2)'!AD34,'Учреждение (3)'!AD34,'Учреждение (4)'!AD34,'Учреждение (5)'!AD34)</f>
        <v>#DIV/0!</v>
      </c>
      <c r="AE34" s="109" t="e">
        <f t="shared" si="5"/>
        <v>#DIV/0!</v>
      </c>
      <c r="AF34" s="107" t="e">
        <f>AE34/('Нормы по школам'!C35/100*60)*100</f>
        <v>#DIV/0!</v>
      </c>
      <c r="AG34" s="132" t="e">
        <f>AE34*'Нормы по школам'!D35/'Нормы по школам'!C35</f>
        <v>#DIV/0!</v>
      </c>
      <c r="AH34" s="132" t="e">
        <f>AE34*'Нормы по школам'!E35/'Нормы по школам'!C35</f>
        <v>#DIV/0!</v>
      </c>
      <c r="AI34" s="132" t="e">
        <f>AE34*'Нормы по школам'!F35/'Нормы по школам'!C35</f>
        <v>#DIV/0!</v>
      </c>
      <c r="AJ34" s="133" t="e">
        <f>AE34*'Нормы по школам'!G35/'Нормы по школам'!C35</f>
        <v>#DIV/0!</v>
      </c>
      <c r="AK34" s="127" t="e">
        <f>AVERAGE('Учреждение (1)'!AK34,'Учреждение (2)'!AK34,'Учреждение (3)'!AK34,'Учреждение (4)'!AK34,'Учреждение (5)'!AK34)</f>
        <v>#DIV/0!</v>
      </c>
      <c r="AL34" s="109" t="e">
        <f t="shared" si="3"/>
        <v>#DIV/0!</v>
      </c>
      <c r="AM34" s="107" t="e">
        <f>AL34/('Нормы по школам'!C35/100*60)*100</f>
        <v>#DIV/0!</v>
      </c>
      <c r="AN34" s="160" t="e">
        <f>AL34*'Нормы по школам'!J35/'Нормы по школам'!I35</f>
        <v>#DIV/0!</v>
      </c>
      <c r="AO34" s="160" t="e">
        <f>AL34*'Нормы по школам'!K35/'Нормы по школам'!I35</f>
        <v>#DIV/0!</v>
      </c>
      <c r="AP34" s="160" t="e">
        <f>AL34*'Нормы по школам'!L35/'Нормы по школам'!I35</f>
        <v>#DIV/0!</v>
      </c>
      <c r="AQ34" s="161" t="e">
        <f>AL34*'Нормы по школам'!M35/'Нормы по школам'!I35</f>
        <v>#DIV/0!</v>
      </c>
    </row>
    <row r="35" spans="1:43" s="27" customFormat="1" ht="15" customHeight="1" thickBot="1">
      <c r="A35" s="146" t="s">
        <v>42</v>
      </c>
      <c r="B35" s="127">
        <f>AVERAGE('Учреждение (1)'!B35,'Учреждение (2)'!B35,'Учреждение (3)'!B35,'Учреждение (4)'!B35,'Учреждение (5)'!B35)</f>
        <v>2.2999999999999998</v>
      </c>
      <c r="C35" s="121">
        <f>B35</f>
        <v>2.2999999999999998</v>
      </c>
      <c r="D35" s="107">
        <f>B35/('Нормы по школам'!C36/100*25)*100</f>
        <v>184</v>
      </c>
      <c r="E35" s="136">
        <f>C35*'Нормы по школам'!D36/'Нормы по школам'!C36</f>
        <v>0</v>
      </c>
      <c r="F35" s="136">
        <f>C35*'Нормы по школам'!E36/'Нормы по школам'!C36</f>
        <v>0</v>
      </c>
      <c r="G35" s="136">
        <f>C35*'Нормы по школам'!F36/'Нормы по школам'!C36</f>
        <v>0</v>
      </c>
      <c r="H35" s="137">
        <f>C35*'Нормы по школам'!G36/'Нормы по школам'!C36</f>
        <v>0</v>
      </c>
      <c r="I35" s="127">
        <f>AVERAGE('Учреждение (1)'!I35,'Учреждение (2)'!I35,'Учреждение (3)'!I35,'Учреждение (4)'!I35,'Учреждение (5)'!I35)</f>
        <v>3</v>
      </c>
      <c r="J35" s="110">
        <f>I35</f>
        <v>3</v>
      </c>
      <c r="K35" s="107">
        <f>J35/('Нормы по школам'!C36/100*25)*100</f>
        <v>240</v>
      </c>
      <c r="L35" s="162">
        <f>J35*'Нормы по школам'!J36/'Нормы по школам'!I36</f>
        <v>0</v>
      </c>
      <c r="M35" s="162">
        <f>J35*'Нормы по школам'!K36/'Нормы по школам'!I36</f>
        <v>0</v>
      </c>
      <c r="N35" s="162">
        <f>J35*'Нормы по школам'!L36/'Нормы по школам'!I36</f>
        <v>0</v>
      </c>
      <c r="O35" s="163">
        <f>J35*'Нормы по школам'!M36/'Нормы по школам'!I36</f>
        <v>0</v>
      </c>
      <c r="P35" s="127" t="e">
        <f>AVERAGE('Учреждение (1)'!P35,'Учреждение (2)'!P35,'Учреждение (3)'!P35,'Учреждение (4)'!P35,'Учреждение (5)'!P35)</f>
        <v>#DIV/0!</v>
      </c>
      <c r="Q35" s="110" t="e">
        <f t="shared" si="4"/>
        <v>#DIV/0!</v>
      </c>
      <c r="R35" s="135" t="e">
        <f>Q35*100/'Нормы по школам'!C36</f>
        <v>#DIV/0!</v>
      </c>
      <c r="S35" s="136" t="e">
        <f>Q35*'Нормы по школам'!D36/'Нормы по школам'!C36</f>
        <v>#DIV/0!</v>
      </c>
      <c r="T35" s="136" t="e">
        <f>Q35*'Нормы по школам'!E36/'Нормы по школам'!C36</f>
        <v>#DIV/0!</v>
      </c>
      <c r="U35" s="136" t="e">
        <f>Q35*'Нормы по школам'!F36/'Нормы по школам'!C36</f>
        <v>#DIV/0!</v>
      </c>
      <c r="V35" s="138" t="e">
        <f>Q35*'Нормы по школам'!G36/'Нормы по школам'!C36</f>
        <v>#DIV/0!</v>
      </c>
      <c r="W35" s="127" t="e">
        <f>AVERAGE('Учреждение (1)'!W35,'Учреждение (2)'!W35,'Учреждение (3)'!W35,'Учреждение (4)'!W35,'Учреждение (5)'!W35)</f>
        <v>#DIV/0!</v>
      </c>
      <c r="X35" s="121" t="e">
        <f>W35</f>
        <v>#DIV/0!</v>
      </c>
      <c r="Y35" s="107" t="e">
        <f>X35/('Нормы по школам'!C36/100*35)*100</f>
        <v>#DIV/0!</v>
      </c>
      <c r="Z35" s="162" t="e">
        <f>X35*'Нормы по школам'!J36/'Нормы по школам'!I36</f>
        <v>#DIV/0!</v>
      </c>
      <c r="AA35" s="162" t="e">
        <f>X35*'Нормы по школам'!K36/'Нормы по школам'!I36</f>
        <v>#DIV/0!</v>
      </c>
      <c r="AB35" s="162" t="e">
        <f>X35*'Нормы по школам'!L36/'Нормы по школам'!I36</f>
        <v>#DIV/0!</v>
      </c>
      <c r="AC35" s="163" t="e">
        <f>X35*'Нормы по школам'!M36/'Нормы по школам'!I36</f>
        <v>#DIV/0!</v>
      </c>
      <c r="AD35" s="127" t="e">
        <f>AVERAGE('Учреждение (1)'!AD35,'Учреждение (2)'!AD35,'Учреждение (3)'!AD35,'Учреждение (4)'!AD35,'Учреждение (5)'!AD35)</f>
        <v>#DIV/0!</v>
      </c>
      <c r="AE35" s="110" t="e">
        <f t="shared" si="5"/>
        <v>#DIV/0!</v>
      </c>
      <c r="AF35" s="107" t="e">
        <f>AE35/('Нормы по школам'!C36/100*60)*100</f>
        <v>#DIV/0!</v>
      </c>
      <c r="AG35" s="136" t="e">
        <f>AE35*'Нормы по школам'!D36/'Нормы по школам'!C36</f>
        <v>#DIV/0!</v>
      </c>
      <c r="AH35" s="136" t="e">
        <f>AE35*'Нормы по школам'!E36/'Нормы по школам'!C36</f>
        <v>#DIV/0!</v>
      </c>
      <c r="AI35" s="136" t="e">
        <f>AE35*'Нормы по школам'!F36/'Нормы по школам'!C36</f>
        <v>#DIV/0!</v>
      </c>
      <c r="AJ35" s="137" t="e">
        <f>AE35*'Нормы по школам'!G36/'Нормы по школам'!C36</f>
        <v>#DIV/0!</v>
      </c>
      <c r="AK35" s="127" t="e">
        <f>AVERAGE('Учреждение (1)'!AK35,'Учреждение (2)'!AK35,'Учреждение (3)'!AK35,'Учреждение (4)'!AK35,'Учреждение (5)'!AK35)</f>
        <v>#DIV/0!</v>
      </c>
      <c r="AL35" s="110" t="e">
        <f>AK35</f>
        <v>#DIV/0!</v>
      </c>
      <c r="AM35" s="107" t="e">
        <f>AL35/('Нормы по школам'!C36/100*60)*100</f>
        <v>#DIV/0!</v>
      </c>
      <c r="AN35" s="162" t="e">
        <f>AL35*'Нормы по школам'!J36/'Нормы по школам'!I36</f>
        <v>#DIV/0!</v>
      </c>
      <c r="AO35" s="162" t="e">
        <f>AL35*'Нормы по школам'!K36/'Нормы по школам'!I36</f>
        <v>#DIV/0!</v>
      </c>
      <c r="AP35" s="162" t="e">
        <f>AL35*'Нормы по школам'!L36/'Нормы по школам'!I36</f>
        <v>#DIV/0!</v>
      </c>
      <c r="AQ35" s="163" t="e">
        <f>AL35*'Нормы по школам'!M36/'Нормы по школам'!I36</f>
        <v>#DIV/0!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81" t="e">
        <f>SUM(E4:E35)</f>
        <v>#DIV/0!</v>
      </c>
      <c r="F37" s="82" t="e">
        <f>SUM(F4:F35)</f>
        <v>#DIV/0!</v>
      </c>
      <c r="G37" s="82" t="e">
        <f>SUM(G4:G35)</f>
        <v>#DIV/0!</v>
      </c>
      <c r="H37" s="83" t="e">
        <f>SUM(H4:H35)</f>
        <v>#DIV/0!</v>
      </c>
      <c r="I37" s="170"/>
      <c r="J37" s="170"/>
      <c r="K37" s="171"/>
      <c r="L37" s="81" t="e">
        <f>SUM(L4:L35)</f>
        <v>#DIV/0!</v>
      </c>
      <c r="M37" s="82" t="e">
        <f>SUM(M4:M35)</f>
        <v>#DIV/0!</v>
      </c>
      <c r="N37" s="82" t="e">
        <f>SUM(N4:N35)</f>
        <v>#DIV/0!</v>
      </c>
      <c r="O37" s="83" t="e">
        <f>SUM(O4:O35)</f>
        <v>#DIV/0!</v>
      </c>
      <c r="P37" s="169"/>
      <c r="Q37" s="169"/>
      <c r="R37" s="80"/>
      <c r="S37" s="81" t="e">
        <f>SUM(S4:S35)</f>
        <v>#DIV/0!</v>
      </c>
      <c r="T37" s="82" t="e">
        <f>SUM(T4:T35)</f>
        <v>#DIV/0!</v>
      </c>
      <c r="U37" s="82" t="e">
        <f>SUM(U4:U35)</f>
        <v>#DIV/0!</v>
      </c>
      <c r="V37" s="83" t="e">
        <f>SUM(V4:V35)</f>
        <v>#DIV/0!</v>
      </c>
      <c r="W37" s="170"/>
      <c r="X37" s="170"/>
      <c r="Y37" s="171"/>
      <c r="Z37" s="81" t="e">
        <f>SUM(Z4:Z35)</f>
        <v>#DIV/0!</v>
      </c>
      <c r="AA37" s="82" t="e">
        <f>SUM(AA4:AA35)</f>
        <v>#DIV/0!</v>
      </c>
      <c r="AB37" s="82" t="e">
        <f>SUM(AB4:AB35)</f>
        <v>#DIV/0!</v>
      </c>
      <c r="AC37" s="83" t="e">
        <f>SUM(AC4:AC35)</f>
        <v>#DIV/0!</v>
      </c>
      <c r="AD37" s="169"/>
      <c r="AE37" s="169"/>
      <c r="AF37" s="80"/>
      <c r="AG37" s="81" t="e">
        <f>SUM(AG4:AG35)</f>
        <v>#DIV/0!</v>
      </c>
      <c r="AH37" s="82" t="e">
        <f>SUM(AH4:AH35)</f>
        <v>#DIV/0!</v>
      </c>
      <c r="AI37" s="82" t="e">
        <f>SUM(AI4:AI35)</f>
        <v>#DIV/0!</v>
      </c>
      <c r="AJ37" s="83" t="e">
        <f>SUM(AJ4:AJ35)</f>
        <v>#DIV/0!</v>
      </c>
      <c r="AK37" s="170"/>
      <c r="AL37" s="170"/>
      <c r="AM37" s="171"/>
      <c r="AN37" s="81" t="e">
        <f>SUM(AN4:AN35)</f>
        <v>#DIV/0!</v>
      </c>
      <c r="AO37" s="82" t="e">
        <f>SUM(AO4:AO35)</f>
        <v>#DIV/0!</v>
      </c>
      <c r="AP37" s="82" t="e">
        <f>SUM(AP4:AP35)</f>
        <v>#DIV/0!</v>
      </c>
      <c r="AQ37" s="83" t="e">
        <f>SUM(AQ4:AQ35)</f>
        <v>#DIV/0!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 t="e">
        <f>E37/('Нормы по школам'!B38/100*25)*100</f>
        <v>#DIV/0!</v>
      </c>
      <c r="F38" s="151" t="e">
        <f>F37/('Нормы по школам'!B39/100*25)*100</f>
        <v>#DIV/0!</v>
      </c>
      <c r="G38" s="151" t="e">
        <f>G37/('Нормы по школам'!B40/100*25)*100</f>
        <v>#DIV/0!</v>
      </c>
      <c r="H38" s="152" t="e">
        <f>H37/('Нормы по школам'!B41/100*25)*100</f>
        <v>#DIV/0!</v>
      </c>
      <c r="I38" s="38"/>
      <c r="J38" s="38"/>
      <c r="K38" s="30"/>
      <c r="L38" s="150" t="e">
        <f>L37/('Нормы по школам'!H38/100*25)*100</f>
        <v>#DIV/0!</v>
      </c>
      <c r="M38" s="151" t="e">
        <f>M37/('Нормы по школам'!H39/100*25)*100</f>
        <v>#DIV/0!</v>
      </c>
      <c r="N38" s="151" t="e">
        <f>N37/('Нормы по школам'!H40/100*25)*100</f>
        <v>#DIV/0!</v>
      </c>
      <c r="O38" s="152" t="e">
        <f>O37/('Нормы по школам'!H41/100*25)*100</f>
        <v>#DIV/0!</v>
      </c>
      <c r="P38" s="38"/>
      <c r="Q38" s="38"/>
      <c r="R38" s="30"/>
      <c r="S38" s="151" t="e">
        <f>S37/('Нормы по школам'!B38/100*35)*100</f>
        <v>#DIV/0!</v>
      </c>
      <c r="T38" s="151" t="e">
        <f>T37/('Нормы по школам'!B39/100*35)*100</f>
        <v>#DIV/0!</v>
      </c>
      <c r="U38" s="151" t="e">
        <f>U37/('Нормы по школам'!B40/100*35)*100</f>
        <v>#DIV/0!</v>
      </c>
      <c r="V38" s="152" t="e">
        <f>V37/('Нормы по школам'!B41/100*35)*100</f>
        <v>#DIV/0!</v>
      </c>
      <c r="W38" s="104"/>
      <c r="X38" s="104"/>
      <c r="Y38" s="105"/>
      <c r="Z38" s="150" t="e">
        <f>Z37/('Нормы по школам'!H38/100*35)*100</f>
        <v>#DIV/0!</v>
      </c>
      <c r="AA38" s="151" t="e">
        <f>AA37/('Нормы по школам'!H39/100*35)*100</f>
        <v>#DIV/0!</v>
      </c>
      <c r="AB38" s="151" t="e">
        <f>AB37/('Нормы по школам'!H40/100*35)*100</f>
        <v>#DIV/0!</v>
      </c>
      <c r="AC38" s="152" t="e">
        <f>AC37/('Нормы по школам'!H41/100*35)*100</f>
        <v>#DIV/0!</v>
      </c>
      <c r="AD38" s="157"/>
      <c r="AE38" s="157"/>
      <c r="AF38" s="157"/>
      <c r="AG38" s="150" t="e">
        <f>AG37/('Нормы по школам'!B38/100*60)*100</f>
        <v>#DIV/0!</v>
      </c>
      <c r="AH38" s="151" t="e">
        <f>AH37/('Нормы по школам'!B39/100*60)*100</f>
        <v>#DIV/0!</v>
      </c>
      <c r="AI38" s="151" t="e">
        <f>AI37/('Нормы по школам'!B40/100*60)*100</f>
        <v>#DIV/0!</v>
      </c>
      <c r="AJ38" s="152" t="e">
        <f>AJ37/('Нормы по школам'!B41/100*60)*100</f>
        <v>#DIV/0!</v>
      </c>
      <c r="AK38" s="157"/>
      <c r="AL38" s="157"/>
      <c r="AM38" s="157"/>
      <c r="AN38" s="150" t="e">
        <f>AN37/('Нормы по школам'!H38/100*60)*100</f>
        <v>#DIV/0!</v>
      </c>
      <c r="AO38" s="151" t="e">
        <f>AO37/('Нормы по школам'!H39/100*60)*100</f>
        <v>#DIV/0!</v>
      </c>
      <c r="AP38" s="151" t="e">
        <f>AP37/('Нормы по школам'!H40/100*60)*100</f>
        <v>#DIV/0!</v>
      </c>
      <c r="AQ38" s="152" t="e">
        <f>AQ37/('Нормы по школам'!H41/100*60)*100</f>
        <v>#DIV/0!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1"/>
  <sheetViews>
    <sheetView tabSelected="1" zoomScale="84" zoomScaleNormal="100" workbookViewId="0">
      <pane xSplit="1" ySplit="3" topLeftCell="B16" activePane="bottomRight" state="frozenSplit"/>
      <selection sqref="A1:Y1"/>
      <selection pane="topRight" sqref="A1:Y1"/>
      <selection pane="bottomLeft" sqref="A1:Y1"/>
      <selection pane="bottomRight" activeCell="J38" sqref="J38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>
        <v>43586</v>
      </c>
      <c r="B1" s="194" t="s">
        <v>82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216" t="str">
        <f>B1</f>
        <v>МБОУ Горкинская СШ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  <c r="AD1" s="213" t="str">
        <f>B1</f>
        <v>МБОУ Горкинская СШ</v>
      </c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5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>
        <v>45.4</v>
      </c>
      <c r="C5" s="109">
        <f>B5</f>
        <v>45.4</v>
      </c>
      <c r="D5" s="180">
        <f>B5/('Нормы по школам'!C6/100*25)*100</f>
        <v>121.06666666666666</v>
      </c>
      <c r="E5" s="77">
        <f>C5*'Нормы по школам'!D6/'Нормы по школам'!C6</f>
        <v>3.4503999999999997</v>
      </c>
      <c r="F5" s="77">
        <f>C5*'Нормы по школам'!E6/'Нормы по школам'!C6</f>
        <v>0.36319999999999997</v>
      </c>
      <c r="G5" s="77">
        <f>C5*'Нормы по школам'!F6/'Нормы по школам'!C6</f>
        <v>22.3368</v>
      </c>
      <c r="H5" s="78">
        <f>C5*'Нормы по школам'!G6/'Нормы по школам'!C6</f>
        <v>106.69</v>
      </c>
      <c r="I5" s="93">
        <v>69.400000000000006</v>
      </c>
      <c r="J5" s="109">
        <f>I5</f>
        <v>69.400000000000006</v>
      </c>
      <c r="K5" s="107">
        <f>J5/('Нормы по школам'!C6/100*25)*100</f>
        <v>185.06666666666669</v>
      </c>
      <c r="L5" s="174">
        <f>J5*'Нормы по школам'!J6/'Нормы по школам'!I6</f>
        <v>5.2744000000000009</v>
      </c>
      <c r="M5" s="174">
        <f>J5*'Нормы по школам'!K6/'Нормы по школам'!I6</f>
        <v>0.55520000000000014</v>
      </c>
      <c r="N5" s="174">
        <f>J5*'Нормы по школам'!L6/'Нормы по школам'!I6</f>
        <v>34.144800000000004</v>
      </c>
      <c r="O5" s="175">
        <f>J5*'Нормы по школам'!M6/'Нормы по школам'!I6</f>
        <v>163.09000000000003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>
        <v>1.5</v>
      </c>
      <c r="C6" s="109">
        <f t="shared" ref="C6:C34" si="0">B6</f>
        <v>1.5</v>
      </c>
      <c r="D6" s="107">
        <f>B6/('Нормы по школам'!C7/100*25)*100</f>
        <v>40</v>
      </c>
      <c r="E6" s="77">
        <f>C6*'Нормы по школам'!D7/'Нормы по школам'!C7</f>
        <v>0.16200000000000001</v>
      </c>
      <c r="F6" s="77">
        <f>C6*'Нормы по школам'!E7/'Нормы по школам'!C7</f>
        <v>1.95E-2</v>
      </c>
      <c r="G6" s="77">
        <f>C6*'Нормы по школам'!F7/'Нормы по школам'!C7</f>
        <v>1.0485</v>
      </c>
      <c r="H6" s="78">
        <f>C6*'Нормы по школам'!G7/'Нормы по школам'!C7</f>
        <v>5.0100000000000007</v>
      </c>
      <c r="I6" s="93">
        <v>0.67</v>
      </c>
      <c r="J6" s="109">
        <f t="shared" ref="J6:J34" si="1">I6</f>
        <v>0.67</v>
      </c>
      <c r="K6" s="107">
        <f>J6/('Нормы по школам'!C7/100*25)*100</f>
        <v>17.866666666666667</v>
      </c>
      <c r="L6" s="174">
        <f>J6*'Нормы по школам'!J7/'Нормы по школам'!I7</f>
        <v>7.2360000000000008E-2</v>
      </c>
      <c r="M6" s="174">
        <f>J6*'Нормы по школам'!K7/'Нормы по школам'!I7</f>
        <v>8.7100000000000007E-3</v>
      </c>
      <c r="N6" s="174">
        <f>J6*'Нормы по школам'!L7/'Нормы по школам'!I7</f>
        <v>0.46833000000000002</v>
      </c>
      <c r="O6" s="175">
        <f>J6*'Нормы по школам'!M7/'Нормы по школам'!I7</f>
        <v>2.2378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>
        <v>14.6</v>
      </c>
      <c r="C7" s="109">
        <f t="shared" si="0"/>
        <v>14.6</v>
      </c>
      <c r="D7" s="107">
        <f>B7/('Нормы по школам'!C8/100*25)*100</f>
        <v>129.77777777777777</v>
      </c>
      <c r="E7" s="77">
        <f>C7*'Нормы по школам'!D8/'Нормы по школам'!C8</f>
        <v>1.5841000000000003</v>
      </c>
      <c r="F7" s="77">
        <f>C7*'Нормы по школам'!E8/'Нормы по школам'!C8</f>
        <v>0.50370000000000004</v>
      </c>
      <c r="G7" s="77">
        <f>C7*'Нормы по школам'!F8/'Нормы по школам'!C8</f>
        <v>9.468099999999998</v>
      </c>
      <c r="H7" s="78">
        <f>C7*'Нормы по школам'!G8/'Нормы по школам'!C8</f>
        <v>48.727499999999992</v>
      </c>
      <c r="I7" s="93">
        <v>17.8</v>
      </c>
      <c r="J7" s="109">
        <f t="shared" si="1"/>
        <v>17.8</v>
      </c>
      <c r="K7" s="107">
        <f>J7/('Нормы по школам'!C8/100*25)*100</f>
        <v>158.22222222222223</v>
      </c>
      <c r="L7" s="174">
        <f>J7*'Нормы по школам'!J8/'Нормы по школам'!I8</f>
        <v>1.9313</v>
      </c>
      <c r="M7" s="174">
        <f>J7*'Нормы по школам'!K8/'Нормы по школам'!I8</f>
        <v>0.61410000000000009</v>
      </c>
      <c r="N7" s="174">
        <f>J7*'Нормы по школам'!L8/'Нормы по школам'!I8</f>
        <v>11.543299999999999</v>
      </c>
      <c r="O7" s="175">
        <f>J7*'Нормы по школам'!M8/'Нормы по школам'!I8</f>
        <v>59.407499999999999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>
        <v>5.9</v>
      </c>
      <c r="C8" s="109">
        <f t="shared" si="0"/>
        <v>5.9</v>
      </c>
      <c r="D8" s="107">
        <f>B8/('Нормы по школам'!C9/100*25)*100</f>
        <v>157.33333333333334</v>
      </c>
      <c r="E8" s="77">
        <f>C8*'Нормы по школам'!D9/'Нормы по школам'!C9</f>
        <v>0.64899999999999991</v>
      </c>
      <c r="F8" s="77">
        <f>C8*'Нормы по школам'!E9/'Нормы по школам'!C9</f>
        <v>7.6700000000000004E-2</v>
      </c>
      <c r="G8" s="77">
        <f>C8*'Нормы по школам'!F9/'Нормы по школам'!C9</f>
        <v>4.1594999999999995</v>
      </c>
      <c r="H8" s="78">
        <f>C8*'Нормы по школам'!G9/'Нормы по школам'!C9</f>
        <v>19.942000000000004</v>
      </c>
      <c r="I8" s="93">
        <v>10.199999999999999</v>
      </c>
      <c r="J8" s="109">
        <f t="shared" si="1"/>
        <v>10.199999999999999</v>
      </c>
      <c r="K8" s="107">
        <f>J8/('Нормы по школам'!C9/100*25)*100</f>
        <v>272</v>
      </c>
      <c r="L8" s="174">
        <f>J8*'Нормы по школам'!J9/'Нормы по школам'!I9</f>
        <v>1.1220000000000001</v>
      </c>
      <c r="M8" s="174">
        <f>J8*'Нормы по школам'!K9/'Нормы по школам'!I9</f>
        <v>0.1326</v>
      </c>
      <c r="N8" s="174">
        <f>J8*'Нормы по школам'!L9/'Нормы по школам'!I9</f>
        <v>7.1909999999999998</v>
      </c>
      <c r="O8" s="175">
        <f>J8*'Нормы по школам'!M9/'Нормы по школам'!I9</f>
        <v>34.475999999999992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>
        <v>50.7</v>
      </c>
      <c r="C9" s="109">
        <f>B9*'Нормы по школам'!C10/'Нормы по школам'!B10</f>
        <v>38.126400000000004</v>
      </c>
      <c r="D9" s="107">
        <f>B9/('Нормы по школам'!C10/100*25)*100</f>
        <v>107.87234042553193</v>
      </c>
      <c r="E9" s="77">
        <f>C9*'Нормы по школам'!D10/'Нормы по школам'!C10</f>
        <v>0.76252799999999998</v>
      </c>
      <c r="F9" s="77">
        <f>C9*'Нормы по школам'!E10/'Нормы по школам'!C10</f>
        <v>0.15250560000000002</v>
      </c>
      <c r="G9" s="77">
        <f>C9*'Нормы по школам'!F10/'Нормы по школам'!C10</f>
        <v>6.2146032000000018</v>
      </c>
      <c r="H9" s="78">
        <f>C9*'Нормы по школам'!G10/'Нормы по школам'!C10</f>
        <v>29.357327999999999</v>
      </c>
      <c r="I9" s="93">
        <v>61.4</v>
      </c>
      <c r="J9" s="109">
        <f>I9*'Нормы по школам'!I10/'Нормы по школам'!H10</f>
        <v>46.172799999999995</v>
      </c>
      <c r="K9" s="107">
        <f>J9/('Нормы по школам'!C10/100*25)*100</f>
        <v>98.24</v>
      </c>
      <c r="L9" s="174">
        <f>J9*'Нормы по школам'!J10/'Нормы по школам'!I10</f>
        <v>0.92345599999999983</v>
      </c>
      <c r="M9" s="174">
        <f>J9*'Нормы по школам'!K10/'Нормы по школам'!I10</f>
        <v>0.1846912</v>
      </c>
      <c r="N9" s="174">
        <f>J9*'Нормы по школам'!L10/'Нормы по школам'!I10</f>
        <v>7.5261663999999993</v>
      </c>
      <c r="O9" s="175">
        <f>J9*'Нормы по школам'!M10/'Нормы по школам'!I10</f>
        <v>35.553055999999991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>
        <v>45.1</v>
      </c>
      <c r="C10" s="109">
        <f>B10*'Нормы по школам'!C11/'Нормы по школам'!B11</f>
        <v>36.08</v>
      </c>
      <c r="D10" s="107">
        <f>B10/('Нормы по школам'!C11/100*25)*100</f>
        <v>64.428571428571431</v>
      </c>
      <c r="E10" s="77">
        <f>C10*'Нормы по школам'!D11/'Нормы по школам'!C11</f>
        <v>0.46903999999999996</v>
      </c>
      <c r="F10" s="77">
        <f>C10*'Нормы по школам'!E11/'Нормы по школам'!C11</f>
        <v>4.8106666666666666E-2</v>
      </c>
      <c r="G10" s="77">
        <f>C10*'Нормы по школам'!F11/'Нормы по школам'!C11</f>
        <v>2.0625733333333334</v>
      </c>
      <c r="H10" s="78">
        <f>C10*'Нормы по школам'!G11/'Нормы по школам'!C11</f>
        <v>10.884133333333333</v>
      </c>
      <c r="I10" s="93">
        <v>50.1</v>
      </c>
      <c r="J10" s="109">
        <f>I10*'Нормы по школам'!I11/'Нормы по школам'!H11</f>
        <v>40.08</v>
      </c>
      <c r="K10" s="107">
        <f>J10/('Нормы по школам'!C11/100*25)*100</f>
        <v>57.257142857142853</v>
      </c>
      <c r="L10" s="174">
        <f>J10*'Нормы по школам'!J11/'Нормы по школам'!I11</f>
        <v>0.52103999999999995</v>
      </c>
      <c r="M10" s="174">
        <f>J10*'Нормы по школам'!K11/'Нормы по школам'!I11</f>
        <v>5.3440000000000001E-2</v>
      </c>
      <c r="N10" s="174">
        <f>J10*'Нормы по школам'!L11/'Нормы по школам'!I11</f>
        <v>2.2912399999999997</v>
      </c>
      <c r="O10" s="175">
        <f>J10*'Нормы по школам'!M11/'Нормы по школам'!I11</f>
        <v>12.090799999999998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>
        <v>27</v>
      </c>
      <c r="C11" s="109">
        <f>B11*'Нормы по школам'!C12/'Нормы по школам'!B12</f>
        <v>24.975000000000001</v>
      </c>
      <c r="D11" s="107">
        <f>B11/('Нормы по школам'!C12/100*25)*100</f>
        <v>58.378378378378379</v>
      </c>
      <c r="E11" s="77">
        <f>C11*'Нормы по школам'!D12/'Нормы по школам'!C12</f>
        <v>0.2331</v>
      </c>
      <c r="F11" s="77">
        <f>C11*'Нормы по школам'!E12/'Нормы по школам'!C12</f>
        <v>9.1575000000000017E-2</v>
      </c>
      <c r="G11" s="77">
        <f>C11*'Нормы по школам'!F12/'Нормы по школам'!C12</f>
        <v>3.2384250000000003</v>
      </c>
      <c r="H11" s="78">
        <f>C11*'Нормы по школам'!G12/'Нормы по школам'!C12</f>
        <v>15.484500000000001</v>
      </c>
      <c r="I11" s="93">
        <v>24.5</v>
      </c>
      <c r="J11" s="109">
        <f>I11*'Нормы по школам'!I12/'Нормы по школам'!H12</f>
        <v>22.662500000000001</v>
      </c>
      <c r="K11" s="107">
        <f>J11/('Нормы по школам'!C12/100*25)*100</f>
        <v>49.000000000000007</v>
      </c>
      <c r="L11" s="174">
        <f>J11*'Нормы по школам'!J12/'Нормы по школам'!I12</f>
        <v>0.21151666666666666</v>
      </c>
      <c r="M11" s="174">
        <f>J11*'Нормы по школам'!K12/'Нормы по школам'!I12</f>
        <v>8.3095833333333355E-2</v>
      </c>
      <c r="N11" s="174">
        <f>J11*'Нормы по школам'!L12/'Нормы по школам'!I12</f>
        <v>2.9385708333333334</v>
      </c>
      <c r="O11" s="175">
        <f>J11*'Нормы по школам'!M12/'Нормы по школам'!I12</f>
        <v>14.050750000000001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>
        <v>3.8</v>
      </c>
      <c r="C12" s="109">
        <f t="shared" si="0"/>
        <v>3.8</v>
      </c>
      <c r="D12" s="107">
        <f>B12/('Нормы по школам'!C13/100*25)*100</f>
        <v>101.33333333333331</v>
      </c>
      <c r="E12" s="77">
        <f>C12*'Нормы по школам'!D13/'Нормы по школам'!C13</f>
        <v>0.11704000000000002</v>
      </c>
      <c r="F12" s="77">
        <f>C12*'Нормы по школам'!E13/'Нормы по школам'!C13</f>
        <v>2.2799999999999997E-2</v>
      </c>
      <c r="G12" s="77">
        <f>C12*'Нормы по школам'!F13/'Нормы по школам'!C13</f>
        <v>2.1401600000000003</v>
      </c>
      <c r="H12" s="78">
        <f>C12*'Нормы по школам'!G13/'Нормы по школам'!C13</f>
        <v>9.9255999999999993</v>
      </c>
      <c r="I12" s="93">
        <v>4.7</v>
      </c>
      <c r="J12" s="109">
        <f t="shared" si="1"/>
        <v>4.7</v>
      </c>
      <c r="K12" s="107">
        <f>J12/('Нормы по школам'!C13/100*25)*100</f>
        <v>125.33333333333334</v>
      </c>
      <c r="L12" s="174">
        <f>J12*'Нормы по школам'!J13/'Нормы по школам'!I13</f>
        <v>0.14476000000000003</v>
      </c>
      <c r="M12" s="174">
        <f>J12*'Нормы по школам'!K13/'Нормы по школам'!I13</f>
        <v>2.8199999999999996E-2</v>
      </c>
      <c r="N12" s="174">
        <f>J12*'Нормы по школам'!L13/'Нормы по школам'!I13</f>
        <v>2.6470399999999996</v>
      </c>
      <c r="O12" s="175">
        <f>J12*'Нормы по школам'!M13/'Нормы по школам'!I13</f>
        <v>12.276400000000001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>
        <v>28.7</v>
      </c>
      <c r="C13" s="109">
        <f t="shared" si="0"/>
        <v>28.7</v>
      </c>
      <c r="D13" s="107">
        <f>B13/('Нормы по школам'!C14/100*25)*100</f>
        <v>57.4</v>
      </c>
      <c r="E13" s="77">
        <f>C13*'Нормы по школам'!D14/'Нормы по школам'!C14</f>
        <v>0.17219999999999999</v>
      </c>
      <c r="F13" s="77">
        <f>C13*'Нормы по школам'!E14/'Нормы по школам'!C14</f>
        <v>2.87E-2</v>
      </c>
      <c r="G13" s="77">
        <f>C13*'Нормы по школам'!F14/'Нормы по школам'!C14</f>
        <v>3.3435499999999996</v>
      </c>
      <c r="H13" s="78">
        <f>C13*'Нормы по школам'!G14/'Нормы по школам'!C14</f>
        <v>15.210999999999999</v>
      </c>
      <c r="I13" s="93">
        <v>25.9</v>
      </c>
      <c r="J13" s="109">
        <f t="shared" si="1"/>
        <v>25.9</v>
      </c>
      <c r="K13" s="107">
        <f>J13/('Нормы по школам'!C14/100*25)*100</f>
        <v>51.800000000000004</v>
      </c>
      <c r="L13" s="174">
        <f>J13*'Нормы по школам'!J14/'Нормы по школам'!I14</f>
        <v>0.15539999999999998</v>
      </c>
      <c r="M13" s="174">
        <f>J13*'Нормы по школам'!K14/'Нормы по школам'!I14</f>
        <v>2.5899999999999999E-2</v>
      </c>
      <c r="N13" s="174">
        <f>J13*'Нормы по школам'!L14/'Нормы по школам'!I14</f>
        <v>3.0173499999999995</v>
      </c>
      <c r="O13" s="175">
        <f>J13*'Нормы по школам'!M14/'Нормы по школам'!I14</f>
        <v>13.726999999999999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>
        <v>29.1</v>
      </c>
      <c r="C14" s="109">
        <f>B14*'Нормы по школам'!C15/'Нормы по школам'!B15</f>
        <v>26.454545454545453</v>
      </c>
      <c r="D14" s="107">
        <f>B14/('Нормы по школам'!C15/100*25)*100</f>
        <v>166.28571428571431</v>
      </c>
      <c r="E14" s="77">
        <f>C14*'Нормы по школам'!D15/'Нормы по школам'!C15</f>
        <v>4.9205454545454543</v>
      </c>
      <c r="F14" s="77">
        <f>C14*'Нормы по школам'!E15/'Нормы по школам'!C15</f>
        <v>4.2327272727272724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57.670909090909085</v>
      </c>
      <c r="I14" s="93">
        <v>31.3</v>
      </c>
      <c r="J14" s="109">
        <f>I14*'Нормы по школам'!I15/'Нормы по школам'!H15</f>
        <v>28.388372093023257</v>
      </c>
      <c r="K14" s="107">
        <f>J14/('Нормы по школам'!C15/100*25)*100</f>
        <v>162.21926910299004</v>
      </c>
      <c r="L14" s="174">
        <f>J14*'Нормы по школам'!J15/'Нормы по школам'!I15</f>
        <v>5.2802372093023262</v>
      </c>
      <c r="M14" s="174">
        <f>J14*'Нормы по школам'!K15/'Нормы по школам'!I15</f>
        <v>4.542139534883721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61.886651162790699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>
        <v>14.3</v>
      </c>
      <c r="C18" s="109">
        <f>B18*'Нормы по школам'!C19/'Нормы по школам'!B19</f>
        <v>13.823333333333334</v>
      </c>
      <c r="D18" s="107">
        <f>B18/('Нормы по школам'!C19/100*25)*100</f>
        <v>98.620689655172427</v>
      </c>
      <c r="E18" s="77">
        <f>C18*'Нормы по школам'!D19/'Нормы по школам'!C19</f>
        <v>2.2808500000000005</v>
      </c>
      <c r="F18" s="77">
        <f>C18*'Нормы по школам'!E19/'Нормы по школам'!C19</f>
        <v>0.53450222222222232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13.961566666666668</v>
      </c>
      <c r="I18" s="93">
        <v>17.3</v>
      </c>
      <c r="J18" s="109">
        <f>I18*'Нормы по школам'!I19/'Нормы по школам'!H19</f>
        <v>16.651250000000001</v>
      </c>
      <c r="K18" s="107">
        <f>J18/('Нормы по школам'!C19/100*25)*100</f>
        <v>114.83620689655174</v>
      </c>
      <c r="L18" s="174">
        <f>J18*'Нормы по школам'!J19/'Нормы по школам'!I19</f>
        <v>2.7474562499999999</v>
      </c>
      <c r="M18" s="174">
        <f>J18*'Нормы по школам'!K19/'Нормы по школам'!I19</f>
        <v>0.64384833333333347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16.817762500000001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>
        <v>4.7</v>
      </c>
      <c r="C19" s="109">
        <f>B19*'Нормы по школам'!C20/'Нормы по школам'!B20</f>
        <v>4.6059999999999999</v>
      </c>
      <c r="D19" s="107">
        <f>B19/('Нормы по школам'!C20/100*25)*100</f>
        <v>127.89115646258504</v>
      </c>
      <c r="E19" s="77">
        <f>C19*'Нормы по школам'!D20/'Нормы по школам'!C20</f>
        <v>0.58956799999999998</v>
      </c>
      <c r="F19" s="77">
        <f>C19*'Нормы по школам'!E20/'Нормы по школам'!C20</f>
        <v>1.022532</v>
      </c>
      <c r="G19" s="77">
        <f>C19*'Нормы по школам'!F20/'Нормы по школам'!C20</f>
        <v>6.9089999999999999E-2</v>
      </c>
      <c r="H19" s="78">
        <f>C19*'Нормы по школам'!G20/'Нормы по школам'!C20</f>
        <v>11.837419999999998</v>
      </c>
      <c r="I19" s="93">
        <v>5.8</v>
      </c>
      <c r="J19" s="109">
        <f>I19*'Нормы по школам'!I20/'Нормы по школам'!H20</f>
        <v>5.6840000000000002</v>
      </c>
      <c r="K19" s="107">
        <f>J19/('Нормы по школам'!C20/100*25)*100</f>
        <v>154.66666666666669</v>
      </c>
      <c r="L19" s="174">
        <f>J19*'Нормы по школам'!J20/'Нормы по школам'!I20</f>
        <v>0.72755200000000009</v>
      </c>
      <c r="M19" s="174">
        <f>J19*'Нормы по школам'!K20/'Нормы по школам'!I20</f>
        <v>1.2618480000000001</v>
      </c>
      <c r="N19" s="174">
        <f>J19*'Нормы по школам'!L20/'Нормы по школам'!I20</f>
        <v>8.5260000000000016E-2</v>
      </c>
      <c r="O19" s="175">
        <f>J19*'Нормы по школам'!M20/'Нормы по школам'!I20</f>
        <v>14.60788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>
        <v>51.6</v>
      </c>
      <c r="C21" s="109">
        <f t="shared" si="0"/>
        <v>51.6</v>
      </c>
      <c r="D21" s="107">
        <f>B21/('Нормы по школам'!C22/100*25)*100</f>
        <v>68.800000000000011</v>
      </c>
      <c r="E21" s="77">
        <f>C21*'Нормы по школам'!D22/'Нормы по школам'!C22</f>
        <v>1.4964</v>
      </c>
      <c r="F21" s="77">
        <f>C21*'Нормы по школам'!E22/'Нормы по школам'!C22</f>
        <v>1.6512</v>
      </c>
      <c r="G21" s="77">
        <f>C21*'Нормы по школам'!F22/'Нормы по школам'!C22</f>
        <v>2.4251999999999998</v>
      </c>
      <c r="H21" s="78">
        <f>C21*'Нормы по школам'!G22/'Нормы по школам'!C22</f>
        <v>30.96</v>
      </c>
      <c r="I21" s="93">
        <v>54.5</v>
      </c>
      <c r="J21" s="109">
        <f t="shared" si="1"/>
        <v>54.5</v>
      </c>
      <c r="K21" s="107">
        <f>J21/('Нормы по школам'!C22/100*25)*100</f>
        <v>72.666666666666671</v>
      </c>
      <c r="L21" s="174">
        <f>J21*'Нормы по школам'!J22/'Нормы по школам'!I22</f>
        <v>1.5805</v>
      </c>
      <c r="M21" s="174">
        <f>J21*'Нормы по школам'!K22/'Нормы по школам'!I22</f>
        <v>1.7439999999999998</v>
      </c>
      <c r="N21" s="174">
        <f>J21*'Нормы по школам'!L22/'Нормы по школам'!I22</f>
        <v>2.5614999999999997</v>
      </c>
      <c r="O21" s="175">
        <f>J21*'Нормы по школам'!M22/'Нормы по школам'!I22</f>
        <v>32.700000000000003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>
        <v>22.2</v>
      </c>
      <c r="C23" s="109">
        <f t="shared" si="0"/>
        <v>22.2</v>
      </c>
      <c r="D23" s="107">
        <f>B23/('Нормы по школам'!C24/100*25)*100</f>
        <v>59.199999999999996</v>
      </c>
      <c r="E23" s="77">
        <f>C23*'Нормы по школам'!D24/'Нормы по школам'!C24</f>
        <v>0.64379999999999993</v>
      </c>
      <c r="F23" s="77">
        <f>C23*'Нормы по школам'!E24/'Нормы по школам'!C24</f>
        <v>0.71039999999999992</v>
      </c>
      <c r="G23" s="77">
        <f>C23*'Нормы по школам'!F24/'Нормы по школам'!C24</f>
        <v>0.8879999999999999</v>
      </c>
      <c r="H23" s="78">
        <f>C23*'Нормы по школам'!G24/'Нормы по школам'!C24</f>
        <v>13.098000000000001</v>
      </c>
      <c r="I23" s="93">
        <v>14.2</v>
      </c>
      <c r="J23" s="109">
        <f t="shared" si="1"/>
        <v>14.2</v>
      </c>
      <c r="K23" s="107">
        <f>J23/('Нормы по школам'!C24/100*25)*100</f>
        <v>37.866666666666667</v>
      </c>
      <c r="L23" s="174">
        <f>J23*'Нормы по школам'!J24/'Нормы по школам'!I24</f>
        <v>0.4118</v>
      </c>
      <c r="M23" s="174">
        <f>J23*'Нормы по школам'!K24/'Нормы по школам'!I24</f>
        <v>0.45439999999999992</v>
      </c>
      <c r="N23" s="174">
        <f>J23*'Нормы по школам'!L24/'Нормы по школам'!I24</f>
        <v>0.56799999999999995</v>
      </c>
      <c r="O23" s="175">
        <f>J23*'Нормы по школам'!M24/'Нормы по школам'!I24</f>
        <v>8.3780000000000001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>
        <v>10.5</v>
      </c>
      <c r="C24" s="109">
        <f t="shared" si="0"/>
        <v>10.5</v>
      </c>
      <c r="D24" s="107">
        <f>B24/('Нормы по школам'!C25/100*25)*100</f>
        <v>84</v>
      </c>
      <c r="E24" s="77">
        <f>C24*'Нормы по школам'!D25/'Нормы по школам'!C25</f>
        <v>1.89</v>
      </c>
      <c r="F24" s="77">
        <f>C24*'Нормы по школам'!E25/'Нормы по школам'!C25</f>
        <v>0.94499999999999995</v>
      </c>
      <c r="G24" s="77">
        <f>C24*'Нормы по школам'!F25/'Нормы по школам'!C25</f>
        <v>0.315</v>
      </c>
      <c r="H24" s="78">
        <f>C24*'Нормы по школам'!G25/'Нормы по школам'!C25</f>
        <v>17.745000000000001</v>
      </c>
      <c r="I24" s="93">
        <v>23.2</v>
      </c>
      <c r="J24" s="109">
        <f t="shared" si="1"/>
        <v>23.2</v>
      </c>
      <c r="K24" s="107">
        <f>J24/('Нормы по школам'!C25/100*25)*100</f>
        <v>185.6</v>
      </c>
      <c r="L24" s="174">
        <f>J24*'Нормы по школам'!J25/'Нормы по школам'!I25</f>
        <v>4.1760000000000002</v>
      </c>
      <c r="M24" s="174">
        <f>J24*'Нормы по школам'!K25/'Нормы по школам'!I25</f>
        <v>2.0880000000000001</v>
      </c>
      <c r="N24" s="174">
        <f>J24*'Нормы по школам'!L25/'Нормы по школам'!I25</f>
        <v>0.69599999999999995</v>
      </c>
      <c r="O24" s="175">
        <f>J24*'Нормы по школам'!M25/'Нормы по школам'!I25</f>
        <v>39.207999999999998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>
        <v>2.4</v>
      </c>
      <c r="C25" s="109">
        <f>B25*'Нормы по школам'!C26/'Нормы по школам'!B26</f>
        <v>2.3519999999999999</v>
      </c>
      <c r="D25" s="107">
        <f>B25/('Нормы по школам'!C26/100*25)*100</f>
        <v>97.959183673469369</v>
      </c>
      <c r="E25" s="77">
        <f>C25*'Нормы по школам'!D26/'Нормы по школам'!C26</f>
        <v>0.6185759999999999</v>
      </c>
      <c r="F25" s="77">
        <f>C25*'Нормы по школам'!E26/'Нормы по школам'!C26</f>
        <v>0.62563199999999997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8.2319999999999993</v>
      </c>
      <c r="I25" s="93">
        <v>3.3</v>
      </c>
      <c r="J25" s="109">
        <f>I25*'Нормы по школам'!I26/'Нормы по школам'!H26</f>
        <v>3.2449999999999997</v>
      </c>
      <c r="K25" s="107">
        <f>J25/('Нормы по школам'!C26/100*25)*100</f>
        <v>132.44897959183669</v>
      </c>
      <c r="L25" s="174">
        <f>J25*'Нормы по школам'!J26/'Нормы по школам'!I26</f>
        <v>0.85343499999999994</v>
      </c>
      <c r="M25" s="174">
        <f>J25*'Нормы по школам'!K26/'Нормы по школам'!I26</f>
        <v>0.86316999999999999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11.357499999999998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>
        <v>1.7</v>
      </c>
      <c r="C26" s="109">
        <f t="shared" si="0"/>
        <v>1.7</v>
      </c>
      <c r="D26" s="107">
        <f>B26/('Нормы по школам'!C27/100*25)*100</f>
        <v>68</v>
      </c>
      <c r="E26" s="77">
        <f>C26*'Нормы по школам'!D27/'Нормы по школам'!C27</f>
        <v>4.4200000000000003E-2</v>
      </c>
      <c r="F26" s="77">
        <f>C26*'Нормы по школам'!E27/'Нормы по школам'!C27</f>
        <v>0.255</v>
      </c>
      <c r="G26" s="77">
        <f>C26*'Нормы по школам'!F27/'Нормы по школам'!C27</f>
        <v>6.1199999999999997E-2</v>
      </c>
      <c r="H26" s="78">
        <f>C26*'Нормы по школам'!G27/'Нормы по школам'!C27</f>
        <v>2.754</v>
      </c>
      <c r="I26" s="93">
        <v>2.5</v>
      </c>
      <c r="J26" s="109">
        <f t="shared" si="1"/>
        <v>2.5</v>
      </c>
      <c r="K26" s="107">
        <f>J26/('Нормы по школам'!C27/100*25)*100</f>
        <v>100</v>
      </c>
      <c r="L26" s="174">
        <f>J26*'Нормы по школам'!J27/'Нормы по школам'!I27</f>
        <v>6.5000000000000002E-2</v>
      </c>
      <c r="M26" s="174">
        <f>J26*'Нормы по школам'!K27/'Нормы по школам'!I27</f>
        <v>0.375</v>
      </c>
      <c r="N26" s="174">
        <f>J26*'Нормы по школам'!L27/'Нормы по школам'!I27</f>
        <v>0.09</v>
      </c>
      <c r="O26" s="175">
        <f>J26*'Нормы по школам'!M27/'Нормы по школам'!I27</f>
        <v>4.05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>
        <v>4.4000000000000004</v>
      </c>
      <c r="C27" s="109">
        <f t="shared" si="0"/>
        <v>4.4000000000000004</v>
      </c>
      <c r="D27" s="107">
        <f>B27/('Нормы по школам'!C28/100*25)*100</f>
        <v>58.666666666666664</v>
      </c>
      <c r="E27" s="77">
        <f>C27*'Нормы по школам'!D28/'Нормы по школам'!C28</f>
        <v>2.2000000000000002E-2</v>
      </c>
      <c r="F27" s="77">
        <f>C27*'Нормы по школам'!E28/'Нормы по школам'!C28</f>
        <v>3.6300000000000003</v>
      </c>
      <c r="G27" s="77">
        <f>C27*'Нормы по школам'!F28/'Нормы по школам'!C28</f>
        <v>3.5200000000000002E-2</v>
      </c>
      <c r="H27" s="78">
        <f>C27*'Нормы по школам'!G28/'Нормы по школам'!C28</f>
        <v>32.912000000000006</v>
      </c>
      <c r="I27" s="93">
        <v>4.2</v>
      </c>
      <c r="J27" s="109">
        <f t="shared" si="1"/>
        <v>4.2</v>
      </c>
      <c r="K27" s="107">
        <f>J27/('Нормы по школам'!C28/100*25)*100</f>
        <v>56.000000000000007</v>
      </c>
      <c r="L27" s="174">
        <f>J27*'Нормы по школам'!J28/'Нормы по школам'!I28</f>
        <v>2.1000000000000001E-2</v>
      </c>
      <c r="M27" s="174">
        <f>J27*'Нормы по школам'!K28/'Нормы по школам'!I28</f>
        <v>3.4650000000000003</v>
      </c>
      <c r="N27" s="174">
        <f>J27*'Нормы по школам'!L28/'Нормы по школам'!I28</f>
        <v>3.3600000000000005E-2</v>
      </c>
      <c r="O27" s="175">
        <f>J27*'Нормы по школам'!M28/'Нормы по школам'!I28</f>
        <v>31.416000000000004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>
        <v>4.5999999999999996</v>
      </c>
      <c r="C28" s="109">
        <f t="shared" si="0"/>
        <v>4.5999999999999996</v>
      </c>
      <c r="D28" s="107">
        <f>B28/('Нормы по школам'!C29/100*25)*100</f>
        <v>122.66666666666666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4.5953999999999997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41.353999999999999</v>
      </c>
      <c r="I28" s="93">
        <v>4.4000000000000004</v>
      </c>
      <c r="J28" s="109">
        <f t="shared" si="1"/>
        <v>4.4000000000000004</v>
      </c>
      <c r="K28" s="107">
        <f>J28/('Нормы по школам'!C29/100*25)*100</f>
        <v>117.33333333333333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4.3956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39.556000000000004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>
        <v>0.3</v>
      </c>
      <c r="C29" s="109">
        <f>B29*'Нормы по школам'!C30/'Нормы по школам'!B30</f>
        <v>12</v>
      </c>
      <c r="D29" s="107">
        <f>B29/('Нормы по школам'!C30/100*25)*100</f>
        <v>3</v>
      </c>
      <c r="E29" s="77">
        <f>C29*'Нормы по школам'!D30/'Нормы по школам'!C30</f>
        <v>1.524</v>
      </c>
      <c r="F29" s="77">
        <f>C29*'Нормы по школам'!E30/'Нормы по школам'!C30</f>
        <v>1.38</v>
      </c>
      <c r="G29" s="77">
        <f>C29*'Нормы по школам'!F30/'Нормы по школам'!C30</f>
        <v>8.4000000000000005E-2</v>
      </c>
      <c r="H29" s="78">
        <f>C29*'Нормы по школам'!G30/'Нормы по школам'!C30</f>
        <v>18.839999999999996</v>
      </c>
      <c r="I29" s="93">
        <v>0.4</v>
      </c>
      <c r="J29" s="109">
        <f>I29*'Нормы по школам'!I30/'Нормы по школам'!H30</f>
        <v>16</v>
      </c>
      <c r="K29" s="107">
        <f>J29/('Нормы по школам'!C30/100*25)*100</f>
        <v>160</v>
      </c>
      <c r="L29" s="174">
        <f>J29*'Нормы по школам'!J30/'Нормы по школам'!I30</f>
        <v>2.032</v>
      </c>
      <c r="M29" s="174">
        <f>J29*'Нормы по школам'!K30/'Нормы по школам'!I30</f>
        <v>1.8399999999999999</v>
      </c>
      <c r="N29" s="174">
        <f>J29*'Нормы по школам'!L30/'Нормы по школам'!I30</f>
        <v>0.11200000000000002</v>
      </c>
      <c r="O29" s="175">
        <f>J29*'Нормы по школам'!M30/'Нормы по школам'!I30</f>
        <v>25.119999999999997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>
        <v>18.5</v>
      </c>
      <c r="C30" s="109">
        <f t="shared" si="0"/>
        <v>18.5</v>
      </c>
      <c r="D30" s="107">
        <f>B30/('Нормы по школам'!C31/100*25)*100</f>
        <v>185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18.463000000000001</v>
      </c>
      <c r="H30" s="78">
        <f>C30*'Нормы по школам'!G31/'Нормы по школам'!C31</f>
        <v>73.814999999999998</v>
      </c>
      <c r="I30" s="93">
        <v>24.5</v>
      </c>
      <c r="J30" s="109">
        <f t="shared" si="1"/>
        <v>24.5</v>
      </c>
      <c r="K30" s="107">
        <f>J30/('Нормы по школам'!C31/100*25)*100</f>
        <v>245.00000000000003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24.450999999999997</v>
      </c>
      <c r="O30" s="175">
        <f>J30*'Нормы по школам'!M31/'Нормы по школам'!I31</f>
        <v>97.75500000000001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>
        <v>0.4</v>
      </c>
      <c r="C32" s="109">
        <f t="shared" si="0"/>
        <v>0.4</v>
      </c>
      <c r="D32" s="107">
        <f>B32/('Нормы по школам'!C33/100*25)*100</f>
        <v>400</v>
      </c>
      <c r="E32" s="77">
        <f>C32*'Нормы по школам'!D33/'Нормы по школам'!C33</f>
        <v>4.0000000000000007E-4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>
        <v>0.6</v>
      </c>
      <c r="J32" s="109">
        <f t="shared" si="1"/>
        <v>0.6</v>
      </c>
      <c r="K32" s="107">
        <f>J32/('Нормы по школам'!C33/100*25)*100</f>
        <v>599.99999999999989</v>
      </c>
      <c r="L32" s="174">
        <f>J32*'Нормы по школам'!J33/'Нормы по школам'!I33</f>
        <v>6.0000000000000006E-4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>
        <v>2.2999999999999998</v>
      </c>
      <c r="C35" s="110">
        <f>B35</f>
        <v>2.2999999999999998</v>
      </c>
      <c r="D35" s="107">
        <f>B35/('Нормы по школам'!C36/100*25)*100</f>
        <v>184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181">
        <v>3</v>
      </c>
      <c r="J35" s="110">
        <f>I35</f>
        <v>3</v>
      </c>
      <c r="K35" s="107">
        <f>J35/('Нормы по школам'!C36/100*25)*100</f>
        <v>240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21.629747454545456</v>
      </c>
      <c r="F37" s="148">
        <f>SUM(F4:F35)</f>
        <v>20.889180761616164</v>
      </c>
      <c r="G37" s="148">
        <f>SUM(G4:G35)</f>
        <v>76.352901533333338</v>
      </c>
      <c r="H37" s="149">
        <f>SUM(H4:H35)</f>
        <v>584.41195709090903</v>
      </c>
      <c r="I37" s="169"/>
      <c r="J37" s="169"/>
      <c r="K37" s="178"/>
      <c r="L37" s="147">
        <f>SUM(L4:L35)</f>
        <v>28.251813125968997</v>
      </c>
      <c r="M37" s="148">
        <f>SUM(M4:M35)</f>
        <v>23.358942901550389</v>
      </c>
      <c r="N37" s="148">
        <f>SUM(N4:N35)</f>
        <v>100.36515723333333</v>
      </c>
      <c r="O37" s="149">
        <f>SUM(O4:O35)</f>
        <v>729.76209966279066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89.91532721979722</v>
      </c>
      <c r="F38" s="151">
        <f>F37/('Нормы по школам'!B39/100*25)*100</f>
        <v>86.326288244455199</v>
      </c>
      <c r="G38" s="151">
        <f>G37/('Нормы по школам'!B40/100*25)*100</f>
        <v>91.803345577608368</v>
      </c>
      <c r="H38" s="152">
        <f>H37/('Нормы по школам'!B41/100*25)*100</f>
        <v>89.044633668305337</v>
      </c>
      <c r="I38" s="38"/>
      <c r="J38" s="38"/>
      <c r="K38" s="30"/>
      <c r="L38" s="150">
        <f>L37/('Нормы по школам'!H38/100*25)*100</f>
        <v>97.037146878045348</v>
      </c>
      <c r="M38" s="151">
        <f>M37/('Нормы по школам'!H39/100*25)*100</f>
        <v>81.995796210190292</v>
      </c>
      <c r="N38" s="151">
        <f>N37/('Нормы по школам'!H40/100*25)*100</f>
        <v>100.10354852634882</v>
      </c>
      <c r="O38" s="152">
        <f>O37/('Нормы по школам'!H41/100*25)*100</f>
        <v>93.296917164268223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A2:A3"/>
    <mergeCell ref="I2:O2"/>
    <mergeCell ref="B2:H2"/>
    <mergeCell ref="P2:V2"/>
    <mergeCell ref="W2:AC2"/>
    <mergeCell ref="AD2:AJ2"/>
    <mergeCell ref="AK2:AQ2"/>
    <mergeCell ref="AD1:AQ1"/>
    <mergeCell ref="P1:AC1"/>
    <mergeCell ref="B1:O1"/>
  </mergeCells>
  <phoneticPr fontId="6" type="noConversion"/>
  <pageMargins left="0.23622047244094491" right="0.27559055118110237" top="0.19685039370078741" bottom="0.15748031496062992" header="0" footer="0"/>
  <pageSetup paperSize="9" pageOrder="overThenDown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4" t="s">
        <v>81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216" t="str">
        <f>B1</f>
        <v>(УЧРЕЖДЕНИЕ)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  <c r="AD1" s="213" t="str">
        <f>B1</f>
        <v>(УЧРЕЖДЕНИЕ)</v>
      </c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5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4" t="s">
        <v>81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216" t="str">
        <f>B1</f>
        <v>(УЧРЕЖДЕНИЕ)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  <c r="AD1" s="213" t="str">
        <f>B1</f>
        <v>(УЧРЕЖДЕНИЕ)</v>
      </c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5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4" t="s">
        <v>81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216" t="str">
        <f>B1</f>
        <v>(УЧРЕЖДЕНИЕ)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  <c r="AD1" s="213" t="str">
        <f>B1</f>
        <v>(УЧРЕЖДЕНИЕ)</v>
      </c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5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4" t="s">
        <v>81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216" t="str">
        <f>B1</f>
        <v>(УЧРЕЖДЕНИЕ)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  <c r="AD1" s="213" t="str">
        <f>B1</f>
        <v>(УЧРЕЖДЕНИЕ)</v>
      </c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5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Нормы по школам</vt:lpstr>
      <vt:lpstr>Школы СРЕДНЕЕ</vt:lpstr>
      <vt:lpstr>Учреждение (1)</vt:lpstr>
      <vt:lpstr>Учреждение (2)</vt:lpstr>
      <vt:lpstr>Учреждение (3)</vt:lpstr>
      <vt:lpstr>Учреждение (4)</vt:lpstr>
      <vt:lpstr>Учреждение (5)</vt:lpstr>
      <vt:lpstr>'Учреждение (1)'!Заголовки_для_печати</vt:lpstr>
      <vt:lpstr>'Учреждение (2)'!Заголовки_для_печати</vt:lpstr>
      <vt:lpstr>'Учреждение (3)'!Заголовки_для_печати</vt:lpstr>
      <vt:lpstr>'Учреждение (4)'!Заголовки_для_печати</vt:lpstr>
      <vt:lpstr>'Учреждение (5)'!Заголовки_для_печати</vt:lpstr>
      <vt:lpstr>'Школы СРЕДНЕЕ'!Заголовки_для_печати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User</cp:lastModifiedBy>
  <cp:revision/>
  <cp:lastPrinted>2017-06-01T09:30:39Z</cp:lastPrinted>
  <dcterms:created xsi:type="dcterms:W3CDTF">1996-10-08T23:32:33Z</dcterms:created>
  <dcterms:modified xsi:type="dcterms:W3CDTF">2019-05-31T09:52:44Z</dcterms:modified>
</cp:coreProperties>
</file>